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D:\文件\LSS\CTCC\BOP\2019赛季\"/>
    </mc:Choice>
  </mc:AlternateContent>
  <xr:revisionPtr revIDLastSave="0" documentId="13_ncr:1_{B424C247-1038-47FD-9F3F-0DC133C183D0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R1-GIC-超级杯" sheetId="26" r:id="rId1"/>
    <sheet name="R1-GIC-中国杯" sheetId="27" r:id="rId2"/>
    <sheet name="平衡影响值" sheetId="1" r:id="rId3"/>
  </sheets>
  <externalReferences>
    <externalReference r:id="rId4"/>
  </externalReferences>
  <definedNames>
    <definedName name="bbb" localSheetId="0">'R1-GIC-超级杯'!$F$50:$F$371</definedName>
    <definedName name="bbb" localSheetId="1">'R1-GIC-中国杯'!$F$35:$F$347</definedName>
    <definedName name="bbb">#REF!</definedName>
    <definedName name="Beg_Bal" localSheetId="0">'R1-GIC-超级杯'!$F$50:$F$371</definedName>
    <definedName name="Beg_Bal" localSheetId="1">'R1-GIC-中国杯'!$F$35:$F$347</definedName>
    <definedName name="Extra_Pay" localSheetId="0">'R1-GIC-超级杯'!$H$50:$H$371</definedName>
    <definedName name="Extra_Pay" localSheetId="1">'R1-GIC-中国杯'!$H$35:$H$347</definedName>
    <definedName name="Int" localSheetId="0">'R1-GIC-超级杯'!$K$47:$K$384</definedName>
    <definedName name="Int" localSheetId="1">'R1-GIC-中国杯'!$K$35:$K$360</definedName>
    <definedName name="Interest_Rate" localSheetId="0">'R1-GIC-超级杯'!#REF!</definedName>
    <definedName name="Interest_Rate" localSheetId="1">'R1-GIC-中国杯'!#REF!</definedName>
    <definedName name="Loan_Amount" localSheetId="0">'R1-GIC-超级杯'!#REF!</definedName>
    <definedName name="Loan_Amount" localSheetId="1">'R1-GIC-中国杯'!#REF!</definedName>
    <definedName name="Loan_Years" localSheetId="0">'R1-GIC-超级杯'!#REF!</definedName>
    <definedName name="Loan_Years" localSheetId="1">'R1-GIC-中国杯'!#REF!</definedName>
    <definedName name="Num_Pmt_Per_Year" localSheetId="0">'R1-GIC-超级杯'!#REF!</definedName>
    <definedName name="Num_Pmt_Per_Year" localSheetId="1">'R1-GIC-中国杯'!#REF!</definedName>
    <definedName name="Number_of_Payments" localSheetId="0">MATCH(0.01,[1]!End_Bal,-1)+1</definedName>
    <definedName name="Number_of_Payments" localSheetId="1">MATCH(0.01,[1]!End_Bal,-1)+1</definedName>
    <definedName name="_xlnm.Print_Area" localSheetId="0">'R1-GIC-超级杯'!$B$1:$O$79</definedName>
    <definedName name="_xlnm.Print_Area" localSheetId="1">'R1-GIC-中国杯'!$B$1:$O$55</definedName>
    <definedName name="Values_Entered" localSheetId="0">IF([1]!Loan_Amount*[1]!Interest_Rate*'[1]Loan Amortization Schedule'!Loan_Years*[1]!Loan_Start&gt;0,1,0)</definedName>
    <definedName name="Values_Entered" localSheetId="1">IF([1]!Loan_Amount*[1]!Interest_Rate*'[1]Loan Amortization Schedule'!Loan_Years*[1]!Loan_Start&gt;0,1,0)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27" l="1"/>
  <c r="AB21" i="27"/>
  <c r="G21" i="27"/>
  <c r="H21" i="27"/>
  <c r="I21" i="27"/>
  <c r="K21" i="27"/>
  <c r="L21" i="27"/>
  <c r="M21" i="27"/>
  <c r="N21" i="27"/>
  <c r="O21" i="27"/>
  <c r="E21" i="27"/>
  <c r="F23" i="27"/>
  <c r="AB23" i="27"/>
  <c r="G23" i="27"/>
  <c r="H23" i="27"/>
  <c r="I23" i="27"/>
  <c r="J23" i="27"/>
  <c r="K23" i="27"/>
  <c r="L23" i="27"/>
  <c r="M23" i="27"/>
  <c r="N23" i="27"/>
  <c r="O23" i="27"/>
  <c r="E23" i="27"/>
  <c r="D18" i="27"/>
  <c r="F22" i="27"/>
  <c r="AB22" i="27"/>
  <c r="G22" i="27"/>
  <c r="H22" i="27"/>
  <c r="I22" i="27"/>
  <c r="J22" i="27"/>
  <c r="K22" i="27"/>
  <c r="L22" i="27"/>
  <c r="M22" i="27"/>
  <c r="N22" i="27"/>
  <c r="O22" i="27"/>
  <c r="E22" i="27"/>
  <c r="F24" i="27"/>
  <c r="AB24" i="27"/>
  <c r="G24" i="27"/>
  <c r="H24" i="27"/>
  <c r="I24" i="27"/>
  <c r="J24" i="27"/>
  <c r="K24" i="27"/>
  <c r="M24" i="27"/>
  <c r="O24" i="27"/>
  <c r="E24" i="27"/>
  <c r="F33" i="27"/>
  <c r="AB33" i="27"/>
  <c r="G33" i="27"/>
  <c r="H33" i="27"/>
  <c r="I33" i="27"/>
  <c r="J33" i="27"/>
  <c r="K33" i="27"/>
  <c r="L33" i="27"/>
  <c r="M33" i="27"/>
  <c r="N33" i="27"/>
  <c r="O33" i="27"/>
  <c r="E33" i="27"/>
  <c r="F32" i="27"/>
  <c r="AB32" i="27"/>
  <c r="G32" i="27"/>
  <c r="H32" i="27"/>
  <c r="I32" i="27"/>
  <c r="J32" i="27"/>
  <c r="K32" i="27"/>
  <c r="L32" i="27"/>
  <c r="M32" i="27"/>
  <c r="N32" i="27"/>
  <c r="O32" i="27"/>
  <c r="E32" i="27"/>
  <c r="G6" i="27"/>
  <c r="F31" i="27"/>
  <c r="AB31" i="27"/>
  <c r="G31" i="27"/>
  <c r="H31" i="27"/>
  <c r="I31" i="27"/>
  <c r="J31" i="27"/>
  <c r="K31" i="27"/>
  <c r="L31" i="27"/>
  <c r="M31" i="27"/>
  <c r="N31" i="27"/>
  <c r="O31" i="27"/>
  <c r="E31" i="27"/>
  <c r="F13" i="27"/>
  <c r="AB13" i="27"/>
  <c r="G13" i="27"/>
  <c r="L14" i="27"/>
  <c r="H13" i="27"/>
  <c r="I13" i="27"/>
  <c r="N14" i="27"/>
  <c r="J13" i="27"/>
  <c r="K13" i="27"/>
  <c r="L13" i="27"/>
  <c r="M13" i="27"/>
  <c r="N13" i="27"/>
  <c r="F14" i="27"/>
  <c r="AB14" i="27"/>
  <c r="G14" i="27"/>
  <c r="H14" i="27"/>
  <c r="I14" i="27"/>
  <c r="J14" i="27"/>
  <c r="K14" i="27"/>
  <c r="M14" i="27"/>
  <c r="O13" i="27"/>
  <c r="O14" i="27"/>
  <c r="F49" i="26"/>
  <c r="AB49" i="26"/>
  <c r="G49" i="26"/>
  <c r="H49" i="26"/>
  <c r="I49" i="26"/>
  <c r="J49" i="26"/>
  <c r="K49" i="26"/>
  <c r="L49" i="26"/>
  <c r="M49" i="26"/>
  <c r="N49" i="26"/>
  <c r="O49" i="26"/>
  <c r="E49" i="26"/>
  <c r="F25" i="26"/>
  <c r="AB25" i="26"/>
  <c r="G25" i="26"/>
  <c r="H25" i="26"/>
  <c r="I25" i="26"/>
  <c r="J25" i="26"/>
  <c r="K25" i="26"/>
  <c r="L25" i="26"/>
  <c r="M25" i="26"/>
  <c r="N25" i="26"/>
  <c r="O25" i="26"/>
  <c r="E25" i="26"/>
  <c r="F46" i="26"/>
  <c r="AB46" i="26"/>
  <c r="G46" i="26"/>
  <c r="H46" i="26"/>
  <c r="I46" i="26"/>
  <c r="J46" i="26"/>
  <c r="K46" i="26"/>
  <c r="L46" i="26"/>
  <c r="M46" i="26"/>
  <c r="N46" i="26"/>
  <c r="O46" i="26"/>
  <c r="E46" i="26"/>
  <c r="F47" i="26"/>
  <c r="AB47" i="26"/>
  <c r="G47" i="26"/>
  <c r="H47" i="26"/>
  <c r="I47" i="26"/>
  <c r="J47" i="26"/>
  <c r="K47" i="26"/>
  <c r="L47" i="26"/>
  <c r="M47" i="26"/>
  <c r="N47" i="26"/>
  <c r="O47" i="26"/>
  <c r="E47" i="26"/>
  <c r="F35" i="26"/>
  <c r="AB35" i="26"/>
  <c r="G35" i="26"/>
  <c r="H35" i="26"/>
  <c r="I35" i="26"/>
  <c r="J35" i="26"/>
  <c r="K35" i="26"/>
  <c r="L35" i="26"/>
  <c r="M35" i="26"/>
  <c r="N35" i="26"/>
  <c r="O35" i="26"/>
  <c r="E35" i="26"/>
  <c r="F36" i="26"/>
  <c r="AB36" i="26"/>
  <c r="G36" i="26"/>
  <c r="H36" i="26"/>
  <c r="I36" i="26"/>
  <c r="J36" i="26"/>
  <c r="K36" i="26"/>
  <c r="L36" i="26"/>
  <c r="M36" i="26"/>
  <c r="N36" i="26"/>
  <c r="O36" i="26"/>
  <c r="E36" i="26"/>
  <c r="F57" i="26"/>
  <c r="AB57" i="26"/>
  <c r="G57" i="26"/>
  <c r="H57" i="26"/>
  <c r="I57" i="26"/>
  <c r="J57" i="26"/>
  <c r="K57" i="26"/>
  <c r="L57" i="26"/>
  <c r="M57" i="26"/>
  <c r="N57" i="26"/>
  <c r="O57" i="26"/>
  <c r="E57" i="26"/>
  <c r="F24" i="26"/>
  <c r="AB24" i="26"/>
  <c r="G24" i="26"/>
  <c r="H24" i="26"/>
  <c r="I24" i="26"/>
  <c r="J24" i="26"/>
  <c r="K24" i="26"/>
  <c r="L24" i="26"/>
  <c r="M24" i="26"/>
  <c r="N24" i="26"/>
  <c r="O24" i="26"/>
  <c r="E24" i="26"/>
  <c r="F58" i="26"/>
  <c r="AB58" i="26"/>
  <c r="G58" i="26"/>
  <c r="H58" i="26"/>
  <c r="I58" i="26"/>
  <c r="J58" i="26"/>
  <c r="K58" i="26"/>
  <c r="L58" i="26"/>
  <c r="M58" i="26"/>
  <c r="N58" i="26"/>
  <c r="O58" i="26"/>
  <c r="E58" i="26"/>
  <c r="G6" i="26"/>
  <c r="D53" i="26"/>
  <c r="D42" i="26"/>
  <c r="D31" i="26"/>
  <c r="D20" i="26"/>
  <c r="F48" i="26"/>
  <c r="AB48" i="26"/>
  <c r="G48" i="26"/>
  <c r="H48" i="26"/>
  <c r="I48" i="26"/>
  <c r="J48" i="26"/>
  <c r="K48" i="26"/>
  <c r="L48" i="26"/>
  <c r="M48" i="26"/>
  <c r="N48" i="26"/>
  <c r="O48" i="26"/>
  <c r="F37" i="26"/>
  <c r="AB37" i="26"/>
  <c r="G37" i="26"/>
  <c r="H37" i="26"/>
  <c r="I37" i="26"/>
  <c r="J37" i="26"/>
  <c r="K37" i="26"/>
  <c r="L37" i="26"/>
  <c r="M37" i="26"/>
  <c r="N37" i="26"/>
  <c r="F38" i="26"/>
  <c r="AB38" i="26"/>
  <c r="G38" i="26"/>
  <c r="H38" i="26"/>
  <c r="I38" i="26"/>
  <c r="J38" i="26"/>
  <c r="K38" i="26"/>
  <c r="L38" i="26"/>
  <c r="M38" i="26"/>
  <c r="N38" i="26"/>
  <c r="O37" i="26"/>
  <c r="O38" i="26"/>
  <c r="F26" i="26"/>
  <c r="AB26" i="26"/>
  <c r="G26" i="26"/>
  <c r="H26" i="26"/>
  <c r="I26" i="26"/>
  <c r="J26" i="26"/>
  <c r="K26" i="26"/>
  <c r="L26" i="26"/>
  <c r="M26" i="26"/>
  <c r="N26" i="26"/>
  <c r="F27" i="26"/>
  <c r="AB27" i="26"/>
  <c r="G27" i="26"/>
  <c r="H27" i="26"/>
  <c r="I27" i="26"/>
  <c r="J27" i="26"/>
  <c r="K27" i="26"/>
  <c r="L27" i="26"/>
  <c r="M27" i="26"/>
  <c r="N27" i="26"/>
  <c r="O26" i="26"/>
  <c r="O27" i="26"/>
  <c r="F14" i="26"/>
  <c r="F15" i="26"/>
  <c r="F16" i="26"/>
  <c r="L15" i="26"/>
  <c r="AB14" i="26"/>
  <c r="N15" i="26"/>
  <c r="L14" i="26"/>
  <c r="M14" i="26"/>
  <c r="N14" i="26"/>
  <c r="AB15" i="26"/>
  <c r="M15" i="26"/>
  <c r="AB16" i="26"/>
  <c r="L16" i="26"/>
  <c r="M16" i="26"/>
  <c r="N16" i="26"/>
  <c r="D28" i="27"/>
  <c r="E13" i="27"/>
  <c r="E14" i="27"/>
  <c r="D10" i="27"/>
  <c r="O16" i="26"/>
  <c r="O14" i="26"/>
  <c r="O15" i="26"/>
  <c r="E48" i="26"/>
  <c r="E38" i="26"/>
  <c r="E37" i="26"/>
  <c r="E27" i="26"/>
  <c r="E26" i="26"/>
  <c r="L4" i="1"/>
  <c r="L5" i="1"/>
  <c r="M5" i="1"/>
  <c r="M4" i="1"/>
  <c r="N4" i="1"/>
  <c r="L8" i="1"/>
  <c r="M8" i="1"/>
  <c r="Q8" i="1"/>
  <c r="N8" i="1"/>
  <c r="AB8" i="1"/>
  <c r="K21" i="1"/>
  <c r="L21" i="1"/>
  <c r="M21" i="1"/>
  <c r="K20" i="1"/>
  <c r="L20" i="1"/>
  <c r="M20" i="1"/>
  <c r="L19" i="1"/>
  <c r="M19" i="1"/>
  <c r="Q19" i="1"/>
  <c r="K17" i="1"/>
  <c r="L17" i="1"/>
  <c r="M17" i="1"/>
  <c r="L14" i="1"/>
  <c r="M14" i="1"/>
  <c r="L13" i="1"/>
  <c r="M13" i="1"/>
  <c r="N19" i="1"/>
  <c r="K18" i="1"/>
  <c r="L18" i="1"/>
  <c r="M18" i="1"/>
  <c r="L11" i="1"/>
  <c r="M11" i="1"/>
  <c r="N11" i="1"/>
  <c r="L12" i="1"/>
  <c r="M12" i="1"/>
  <c r="Q11" i="1"/>
  <c r="K16" i="1"/>
  <c r="L6" i="1"/>
  <c r="M6" i="1"/>
  <c r="Q6" i="1"/>
  <c r="L7" i="1"/>
  <c r="M7" i="1"/>
  <c r="Q7" i="1"/>
  <c r="L9" i="1"/>
  <c r="M9" i="1"/>
  <c r="L10" i="1"/>
  <c r="M10" i="1"/>
  <c r="Q10" i="1"/>
  <c r="L15" i="1"/>
  <c r="M15" i="1"/>
  <c r="Q15" i="1"/>
  <c r="L16" i="1"/>
  <c r="M16" i="1"/>
  <c r="Q16" i="1"/>
  <c r="Q17" i="1"/>
  <c r="N17" i="1"/>
  <c r="N15" i="1"/>
  <c r="N14" i="1"/>
  <c r="N10" i="1"/>
  <c r="AB9" i="1"/>
  <c r="AB7" i="1"/>
  <c r="N7" i="1"/>
  <c r="AE6" i="1"/>
  <c r="AC6" i="1"/>
  <c r="AB6" i="1"/>
  <c r="N6" i="1"/>
  <c r="AE5" i="1"/>
  <c r="AC5" i="1"/>
  <c r="AB5" i="1"/>
  <c r="AE4" i="1"/>
  <c r="AC4" i="1"/>
  <c r="AB4" i="1"/>
  <c r="Q4" i="1"/>
  <c r="Q9" i="1"/>
  <c r="N9" i="1"/>
  <c r="Q13" i="1"/>
  <c r="N13" i="1"/>
  <c r="Q21" i="1"/>
  <c r="N21" i="1"/>
  <c r="N18" i="1"/>
  <c r="Q18" i="1"/>
  <c r="N5" i="1"/>
  <c r="Q5" i="1"/>
  <c r="Q20" i="1"/>
  <c r="N20" i="1"/>
  <c r="Q12" i="1"/>
  <c r="Q14" i="1"/>
  <c r="N12" i="1"/>
  <c r="N16" i="1"/>
  <c r="G15" i="26"/>
  <c r="G16" i="26"/>
  <c r="G14" i="26"/>
</calcChain>
</file>

<file path=xl/sharedStrings.xml><?xml version="1.0" encoding="utf-8"?>
<sst xmlns="http://schemas.openxmlformats.org/spreadsheetml/2006/main" count="332" uniqueCount="118">
  <si>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</si>
  <si>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</si>
  <si>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</si>
  <si>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</si>
  <si>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</si>
  <si>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</si>
  <si>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</si>
  <si>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</si>
  <si>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</si>
  <si>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</si>
  <si>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</si>
  <si>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</si>
  <si>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</si>
  <si>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</si>
  <si>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</si>
  <si>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</si>
  <si>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</si>
  <si>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</si>
  <si>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</si>
  <si>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</si>
  <si>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</si>
  <si>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</si>
  <si>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</si>
  <si>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</si>
  <si>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</si>
  <si>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</si>
  <si>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</si>
  <si>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</si>
  <si>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</si>
  <si>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</si>
  <si>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</si>
  <si>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</si>
  <si>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</si>
  <si>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张志强</t>
  </si>
  <si>
    <t>-0.5mm</t>
    <phoneticPr fontId="3" type="noConversion"/>
  </si>
  <si>
    <t>-1mm</t>
    <phoneticPr fontId="3" type="noConversion"/>
  </si>
  <si>
    <t>Restrictor -0.5mm</t>
    <phoneticPr fontId="3" type="noConversion"/>
  </si>
  <si>
    <t>Restrictor -1mm</t>
    <phoneticPr fontId="3" type="noConversion"/>
  </si>
  <si>
    <t>Restrictor -1.5mm</t>
    <phoneticPr fontId="3" type="noConversion"/>
  </si>
  <si>
    <t>-1.5mm</t>
    <phoneticPr fontId="3" type="noConversion"/>
  </si>
  <si>
    <t>Boost -0.1bar</t>
  </si>
  <si>
    <t>-0.1Bar</t>
  </si>
  <si>
    <t>Boost -0.2bar</t>
  </si>
  <si>
    <t>-0.2Bar</t>
  </si>
  <si>
    <t>max</t>
    <phoneticPr fontId="3" type="noConversion"/>
  </si>
  <si>
    <t>车手</t>
    <rPh sb="0" eb="1">
      <t>che'shou</t>
    </rPh>
    <phoneticPr fontId="3" type="noConversion"/>
  </si>
  <si>
    <t>计算值</t>
    <rPh sb="0" eb="1">
      <t>ji'suan'zhi</t>
    </rPh>
    <phoneticPr fontId="3" type="noConversion"/>
  </si>
  <si>
    <t>车号</t>
    <rPh sb="0" eb="1">
      <t>che'hao</t>
    </rPh>
    <phoneticPr fontId="3" type="noConversion"/>
  </si>
  <si>
    <t>比值</t>
    <rPh sb="0" eb="1">
      <t>bi'zhi</t>
    </rPh>
    <phoneticPr fontId="3" type="noConversion"/>
  </si>
  <si>
    <t>标准圈时</t>
    <rPh sb="0" eb="1">
      <t>biao'zhun'quan'shi</t>
    </rPh>
    <phoneticPr fontId="3" type="noConversion"/>
  </si>
  <si>
    <t>排位赛</t>
    <rPh sb="0" eb="1">
      <t>pai'wei's</t>
    </rPh>
    <phoneticPr fontId="3" type="noConversion"/>
  </si>
  <si>
    <t>决赛1最快</t>
    <rPh sb="0" eb="1">
      <t>jue'sai'yi</t>
    </rPh>
    <rPh sb="3" eb="4">
      <t>zui'kuai</t>
    </rPh>
    <phoneticPr fontId="3" type="noConversion"/>
  </si>
  <si>
    <t>决赛1次快</t>
    <rPh sb="0" eb="1">
      <t>jue'sai</t>
    </rPh>
    <rPh sb="3" eb="4">
      <t>ci'kuai</t>
    </rPh>
    <phoneticPr fontId="3" type="noConversion"/>
  </si>
  <si>
    <t>决赛2最快</t>
    <rPh sb="0" eb="1">
      <t>jue'sai</t>
    </rPh>
    <rPh sb="3" eb="4">
      <t>zui'kuai</t>
    </rPh>
    <phoneticPr fontId="3" type="noConversion"/>
  </si>
  <si>
    <t>决赛2次快</t>
    <rPh sb="0" eb="1">
      <t>jue'sai</t>
    </rPh>
    <rPh sb="3" eb="4">
      <t>ci'kuai</t>
    </rPh>
    <phoneticPr fontId="3" type="noConversion"/>
  </si>
  <si>
    <t>排位赛计算</t>
    <rPh sb="0" eb="1">
      <t>pai'wei's</t>
    </rPh>
    <rPh sb="3" eb="4">
      <t>ji'suan</t>
    </rPh>
    <phoneticPr fontId="3" type="noConversion"/>
  </si>
  <si>
    <t>决赛1最快计算</t>
    <rPh sb="0" eb="1">
      <t>jue'sai</t>
    </rPh>
    <rPh sb="3" eb="4">
      <t>zui'kuai</t>
    </rPh>
    <rPh sb="5" eb="6">
      <t>ji'suan</t>
    </rPh>
    <phoneticPr fontId="3" type="noConversion"/>
  </si>
  <si>
    <t>决赛1次快计算</t>
    <rPh sb="0" eb="1">
      <t>jue'sai</t>
    </rPh>
    <rPh sb="3" eb="4">
      <t>ci'kuai</t>
    </rPh>
    <rPh sb="5" eb="6">
      <t>ji'suan</t>
    </rPh>
    <phoneticPr fontId="3" type="noConversion"/>
  </si>
  <si>
    <t>决赛2最快计算</t>
    <rPh sb="0" eb="1">
      <t>jue'sai</t>
    </rPh>
    <rPh sb="3" eb="4">
      <t>zui'kuai</t>
    </rPh>
    <rPh sb="5" eb="6">
      <t>ji'suan</t>
    </rPh>
    <phoneticPr fontId="3" type="noConversion"/>
  </si>
  <si>
    <t>决赛2次快计算</t>
    <rPh sb="0" eb="1">
      <t>jue'sai</t>
    </rPh>
    <rPh sb="3" eb="4">
      <t>ci'kuai</t>
    </rPh>
    <rPh sb="5" eb="6">
      <t>ji'suan</t>
    </rPh>
    <phoneticPr fontId="3" type="noConversion"/>
  </si>
  <si>
    <t>甄卓伟</t>
    <phoneticPr fontId="3" type="noConversion"/>
  </si>
  <si>
    <t>长安福特车队</t>
    <rPh sb="0" eb="1">
      <t>chang'an'fu't</t>
    </rPh>
    <rPh sb="4" eb="5">
      <t>che'dui</t>
    </rPh>
    <phoneticPr fontId="3" type="noConversion"/>
  </si>
  <si>
    <t>车型标准圈时</t>
    <rPh sb="0" eb="1">
      <t>che'xing</t>
    </rPh>
    <rPh sb="2" eb="3">
      <t>biao'zhun</t>
    </rPh>
    <rPh sb="4" eb="5">
      <t>quan'shi</t>
    </rPh>
    <phoneticPr fontId="3" type="noConversion"/>
  </si>
  <si>
    <t>是否触发平衡</t>
    <rPh sb="0" eb="1">
      <t>shi'f</t>
    </rPh>
    <rPh sb="2" eb="3">
      <t>chu'f</t>
    </rPh>
    <rPh sb="4" eb="5">
      <t>ping'h</t>
    </rPh>
    <phoneticPr fontId="3" type="noConversion"/>
  </si>
  <si>
    <t>车队名称</t>
    <rPh sb="0" eb="1">
      <t>che'dui</t>
    </rPh>
    <rPh sb="2" eb="3">
      <t>ming'c</t>
    </rPh>
    <phoneticPr fontId="3" type="noConversion"/>
  </si>
  <si>
    <t>车型名称</t>
    <rPh sb="0" eb="1">
      <t>che'xing</t>
    </rPh>
    <rPh sb="2" eb="3">
      <t>ming'c</t>
    </rPh>
    <phoneticPr fontId="3" type="noConversion"/>
  </si>
  <si>
    <t>东风悦达起亚车队</t>
    <rPh sb="0" eb="1">
      <t>dong'feng'yue'da</t>
    </rPh>
    <phoneticPr fontId="3" type="noConversion"/>
  </si>
  <si>
    <t>上汽大众333车队</t>
    <rPh sb="0" eb="1">
      <t>shang'qi'da'zhong</t>
    </rPh>
    <rPh sb="7" eb="8">
      <t>che'dui</t>
    </rPh>
    <phoneticPr fontId="3" type="noConversion"/>
  </si>
  <si>
    <t>排名</t>
    <rPh sb="0" eb="1">
      <t>pai'ming</t>
    </rPh>
    <phoneticPr fontId="3" type="noConversion"/>
  </si>
  <si>
    <t>最快车手</t>
    <rPh sb="0" eb="1">
      <t>zui'kuai</t>
    </rPh>
    <phoneticPr fontId="3" type="noConversion"/>
  </si>
  <si>
    <t>最快圈时</t>
    <rPh sb="0" eb="1">
      <t>zui'kuai</t>
    </rPh>
    <rPh sb="2" eb="3">
      <t>quan'shi</t>
    </rPh>
    <phoneticPr fontId="3" type="noConversion"/>
  </si>
  <si>
    <t>全场平均圈时</t>
    <rPh sb="0" eb="1">
      <t>quan'c</t>
    </rPh>
    <rPh sb="2" eb="3">
      <t>ping'jun</t>
    </rPh>
    <rPh sb="4" eb="5">
      <t>quan'shi</t>
    </rPh>
    <phoneticPr fontId="3" type="noConversion"/>
  </si>
  <si>
    <t>平衡触发条件</t>
    <rPh sb="0" eb="1">
      <t>ping'h</t>
    </rPh>
    <rPh sb="2" eb="3">
      <t>chu'fa</t>
    </rPh>
    <rPh sb="4" eb="5">
      <t>tiao'jian</t>
    </rPh>
    <phoneticPr fontId="3" type="noConversion"/>
  </si>
  <si>
    <t>何晓乐</t>
    <rPh sb="0" eb="2">
      <t>he'xiao'l</t>
    </rPh>
    <phoneticPr fontId="3" type="noConversion"/>
  </si>
  <si>
    <t>朱戴维</t>
    <rPh sb="0" eb="2">
      <t>zhu'dai'we</t>
    </rPh>
    <phoneticPr fontId="18" type="noConversion"/>
  </si>
  <si>
    <t>朱胡安</t>
    <rPh sb="0" eb="2">
      <t>zhu'hua</t>
    </rPh>
    <phoneticPr fontId="3" type="noConversion"/>
  </si>
  <si>
    <t>张臻东</t>
    <rPh sb="0" eb="2">
      <t>zhang'zhen'don</t>
    </rPh>
    <phoneticPr fontId="3" type="noConversion"/>
  </si>
  <si>
    <t>车型表现力分析-2019</t>
    <rPh sb="5" eb="6">
      <t>fen'xi</t>
    </rPh>
    <phoneticPr fontId="3" type="noConversion"/>
  </si>
  <si>
    <t>第一分站 广东国际赛车场                       比赛日期：5月10-12日                    赛道长度：2.8km</t>
    <rPh sb="0" eb="1">
      <t>di'wufen'zhanwu'hjie'dao's</t>
    </rPh>
    <phoneticPr fontId="3" type="noConversion"/>
  </si>
  <si>
    <t>崔岳</t>
    <rPh sb="0" eb="2">
      <t>zhang'zhi</t>
    </rPh>
    <phoneticPr fontId="3" type="noConversion"/>
  </si>
  <si>
    <t>北京汽车车队</t>
  </si>
  <si>
    <t>全新凌度</t>
    <phoneticPr fontId="3" type="noConversion"/>
  </si>
  <si>
    <t>新一代福克斯</t>
    <rPh sb="0" eb="1">
      <t>quan'xin</t>
    </rPh>
    <rPh sb="2" eb="3">
      <t>fu't</t>
    </rPh>
    <rPh sb="4" eb="5">
      <t>fu'ke'si</t>
    </rPh>
    <phoneticPr fontId="3" type="noConversion"/>
  </si>
  <si>
    <t>韩寒</t>
    <rPh sb="0" eb="2">
      <t>yang'fa</t>
    </rPh>
    <phoneticPr fontId="18" type="noConversion"/>
  </si>
  <si>
    <t>傅军飞</t>
    <rPh sb="0" eb="2">
      <t>cui'yu</t>
    </rPh>
    <phoneticPr fontId="18" type="noConversion"/>
  </si>
  <si>
    <t>李英健</t>
    <rPh sb="0" eb="2">
      <t>cao'hong'we</t>
    </rPh>
    <phoneticPr fontId="3" type="noConversion"/>
  </si>
  <si>
    <t>詹家图</t>
    <rPh sb="0" eb="2">
      <t>wang'ri</t>
    </rPh>
    <phoneticPr fontId="3" type="noConversion"/>
  </si>
  <si>
    <t>曹宏炜</t>
    <rPh sb="0" eb="2">
      <t>xie'xin</t>
    </rPh>
    <phoneticPr fontId="3" type="noConversion"/>
  </si>
  <si>
    <t>崔岳</t>
    <phoneticPr fontId="18" type="noConversion"/>
  </si>
  <si>
    <t>广汽丰田车队</t>
    <rPh sb="0" eb="1">
      <t>dong'feng'yue'da</t>
    </rPh>
    <phoneticPr fontId="3" type="noConversion"/>
  </si>
  <si>
    <t>雷凌</t>
    <rPh sb="0" eb="1">
      <t>xi</t>
    </rPh>
    <phoneticPr fontId="3" type="noConversion"/>
  </si>
  <si>
    <t>张汉标</t>
    <phoneticPr fontId="18" type="noConversion"/>
  </si>
  <si>
    <t>林立峰</t>
    <rPh sb="0" eb="2">
      <t>xie'xin</t>
    </rPh>
    <phoneticPr fontId="3" type="noConversion"/>
  </si>
  <si>
    <t>全新一代K3</t>
    <rPh sb="0" eb="1">
      <t>xi</t>
    </rPh>
    <phoneticPr fontId="3" type="noConversion"/>
  </si>
  <si>
    <t>全新绅宝D50</t>
    <rPh sb="0" eb="1">
      <t>quan'xi</t>
    </rPh>
    <phoneticPr fontId="3" type="noConversion"/>
  </si>
  <si>
    <t>是</t>
    <phoneticPr fontId="18" type="noConversion"/>
  </si>
  <si>
    <t>星之路车队</t>
    <phoneticPr fontId="18" type="noConversion"/>
  </si>
  <si>
    <t>纵横车队</t>
    <rPh sb="0" eb="1">
      <t>shang'qi'da'zhongche'dui</t>
    </rPh>
    <phoneticPr fontId="3" type="noConversion"/>
  </si>
  <si>
    <t>新瑞纳</t>
    <phoneticPr fontId="3" type="noConversion"/>
  </si>
  <si>
    <t>传祺 GA3S</t>
    <rPh sb="0" eb="1">
      <t>quan'xi</t>
    </rPh>
    <phoneticPr fontId="3" type="noConversion"/>
  </si>
  <si>
    <t>东风风神车队</t>
    <rPh sb="0" eb="1">
      <t>chang'an'fu't</t>
    </rPh>
    <rPh sb="4" eb="5">
      <t>che'dui</t>
    </rPh>
    <phoneticPr fontId="3" type="noConversion"/>
  </si>
  <si>
    <t>D53</t>
    <rPh sb="0" eb="1">
      <t>quan'xin</t>
    </rPh>
    <rPh sb="2" eb="3">
      <t>fu'tfu'ke'si</t>
    </rPh>
    <phoneticPr fontId="3" type="noConversion"/>
  </si>
  <si>
    <t>孙安宁</t>
    <rPh sb="0" eb="2">
      <t>zhu'dai'we</t>
    </rPh>
    <phoneticPr fontId="18" type="noConversion"/>
  </si>
  <si>
    <t>吴旻</t>
    <rPh sb="0" eb="2">
      <t>zhu'hua</t>
    </rPh>
    <phoneticPr fontId="3" type="noConversion"/>
  </si>
  <si>
    <t>杨帆</t>
    <rPh sb="0" eb="2">
      <t>yang'fa</t>
    </rPh>
    <phoneticPr fontId="18" type="noConversion"/>
  </si>
  <si>
    <t>闫闯</t>
    <rPh sb="0" eb="2">
      <t>zhang'zhen'don</t>
    </rPh>
    <phoneticPr fontId="3" type="noConversion"/>
  </si>
  <si>
    <t>吴晓峰</t>
    <phoneticPr fontId="18" type="noConversion"/>
  </si>
  <si>
    <t>鲁子房</t>
    <rPh sb="0" eb="2">
      <t>cui'yu</t>
    </rPh>
    <phoneticPr fontId="18" type="noConversion"/>
  </si>
  <si>
    <t>谢欣哲</t>
    <rPh sb="0" eb="2">
      <t>he'xiao'l</t>
    </rPh>
    <phoneticPr fontId="3" type="noConversion"/>
  </si>
  <si>
    <t>黄福金</t>
    <phoneticPr fontId="3" type="noConversion"/>
  </si>
  <si>
    <t>杨曦</t>
    <rPh sb="0" eb="2">
      <t>cao'hong'we</t>
    </rPh>
    <phoneticPr fontId="3" type="noConversion"/>
  </si>
  <si>
    <t>否</t>
    <phoneticPr fontId="18" type="noConversion"/>
  </si>
  <si>
    <t>亚当·摩根</t>
    <rPh sb="0" eb="2">
      <t>ou'yan</t>
    </rPh>
    <phoneticPr fontId="18" type="noConversion"/>
  </si>
  <si>
    <t>艾明达</t>
    <phoneticPr fontId="18" type="noConversion"/>
  </si>
  <si>
    <t>亚历克斯·丰塔纳</t>
    <phoneticPr fontId="18" type="noConversion"/>
  </si>
  <si>
    <t>-</t>
    <phoneticPr fontId="18" type="noConversion"/>
  </si>
  <si>
    <t>≤101.3</t>
    <phoneticPr fontId="18" type="noConversion"/>
  </si>
  <si>
    <t>吴晓峰</t>
    <rPh sb="0" eb="2">
      <t>zhang'zhi</t>
    </rPh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</si>
</sst>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0.000_ "/>
    <numFmt numFmtId="178" formatCode="0.000_);[Red]\(0.000\)"/>
    <numFmt numFmtId="179" formatCode="0.0_);[Red]\(0.0\)"/>
    <numFmt numFmtId="180" formatCode="mm:ss\."/>
    <numFmt numFmtId="181" formatCode="0.00&quot;s&quot;"/>
    <numFmt numFmtId="182" formatCode="0.000"/>
    <numFmt numFmtId="183" formatCode="mm:ss.00"/>
    <numFmt numFmtId="184" formatCode="0.000000000000000_ "/>
    <numFmt numFmtId="185" formatCode="0_);[Red]\(0\)"/>
    <numFmt numFmtId="186" formatCode="0_ "/>
    <numFmt numFmtId="187" formatCode="0.0"/>
  </numFmts>
  <fonts count="22" x14ac:knownFonts="1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9"/>
      <name val="宋体"/>
      <family val="3"/>
      <charset val="136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3"/>
      <name val="微软雅黑"/>
      <family val="3"/>
      <charset val="134"/>
    </font>
    <font>
      <b/>
      <sz val="14"/>
      <color theme="4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3"/>
      <charset val="134"/>
    </font>
    <font>
      <sz val="10"/>
      <color theme="1"/>
      <name val="微软雅黑"/>
      <family val="3"/>
      <charset val="134"/>
    </font>
    <font>
      <sz val="10"/>
      <color theme="0"/>
      <name val="微软雅黑"/>
      <family val="3"/>
      <charset val="134"/>
    </font>
    <font>
      <b/>
      <sz val="11"/>
      <color rgb="FF375888"/>
      <name val="微软雅黑"/>
      <family val="3"/>
      <charset val="134"/>
    </font>
    <font>
      <b/>
      <sz val="11"/>
      <color rgb="FF375888"/>
      <name val="Helvetica"/>
      <family val="2"/>
    </font>
    <font>
      <sz val="10"/>
      <color theme="3"/>
      <name val="微软雅黑"/>
      <family val="3"/>
      <charset val="134"/>
    </font>
    <font>
      <sz val="10"/>
      <color rgb="FFFF0000"/>
      <name val="微软雅黑"/>
      <family val="3"/>
      <charset val="134"/>
    </font>
    <font>
      <sz val="10"/>
      <color rgb="FFFF0000"/>
      <name val="微软雅黑"/>
      <family val="2"/>
      <charset val="134"/>
    </font>
    <font>
      <b/>
      <sz val="11"/>
      <color rgb="FF37588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Helvetica"/>
      <family val="2"/>
    </font>
    <font>
      <sz val="11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85888"/>
        <bgColor rgb="FF000000"/>
      </patternFill>
    </fill>
    <fill>
      <patternFill patternType="solid">
        <fgColor rgb="FFEBEBFF"/>
        <bgColor indexed="64"/>
      </patternFill>
    </fill>
    <fill>
      <patternFill patternType="solid">
        <fgColor rgb="FF375888"/>
        <bgColor rgb="FF000000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center"/>
    </xf>
    <xf numFmtId="183" fontId="2" fillId="3" borderId="0" xfId="0" applyNumberFormat="1" applyFont="1" applyFill="1" applyBorder="1" applyAlignment="1">
      <alignment horizontal="center"/>
    </xf>
    <xf numFmtId="181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18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center"/>
    </xf>
    <xf numFmtId="183" fontId="2" fillId="4" borderId="0" xfId="0" applyNumberFormat="1" applyFont="1" applyFill="1" applyBorder="1" applyAlignment="1">
      <alignment horizontal="center"/>
    </xf>
    <xf numFmtId="18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81" fontId="2" fillId="5" borderId="0" xfId="0" applyNumberFormat="1" applyFont="1" applyFill="1" applyBorder="1" applyAlignment="1">
      <alignment horizontal="center"/>
    </xf>
    <xf numFmtId="10" fontId="2" fillId="5" borderId="0" xfId="0" applyNumberFormat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176" fontId="9" fillId="7" borderId="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9" fontId="10" fillId="4" borderId="3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center"/>
    </xf>
    <xf numFmtId="179" fontId="10" fillId="7" borderId="3" xfId="0" applyNumberFormat="1" applyFont="1" applyFill="1" applyBorder="1" applyAlignment="1">
      <alignment horizontal="center" vertical="center"/>
    </xf>
    <xf numFmtId="0" fontId="10" fillId="7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179" fontId="10" fillId="7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9" fontId="10" fillId="4" borderId="4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179" fontId="10" fillId="4" borderId="11" xfId="0" applyNumberFormat="1" applyFont="1" applyFill="1" applyBorder="1" applyAlignment="1">
      <alignment vertical="center"/>
    </xf>
    <xf numFmtId="185" fontId="10" fillId="4" borderId="3" xfId="0" applyNumberFormat="1" applyFont="1" applyFill="1" applyBorder="1" applyAlignment="1">
      <alignment horizontal="center" vertical="center"/>
    </xf>
    <xf numFmtId="185" fontId="9" fillId="7" borderId="3" xfId="0" applyNumberFormat="1" applyFont="1" applyFill="1" applyBorder="1" applyAlignment="1">
      <alignment horizontal="center" vertical="center"/>
    </xf>
    <xf numFmtId="185" fontId="10" fillId="7" borderId="4" xfId="0" applyNumberFormat="1" applyFont="1" applyFill="1" applyBorder="1" applyAlignment="1">
      <alignment horizontal="center" vertical="center"/>
    </xf>
    <xf numFmtId="185" fontId="10" fillId="4" borderId="4" xfId="0" applyNumberFormat="1" applyFont="1" applyFill="1" applyBorder="1" applyAlignment="1">
      <alignment horizontal="center" vertical="center"/>
    </xf>
    <xf numFmtId="186" fontId="9" fillId="7" borderId="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79" fontId="13" fillId="4" borderId="13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indent="1"/>
    </xf>
    <xf numFmtId="179" fontId="15" fillId="4" borderId="3" xfId="0" applyNumberFormat="1" applyFont="1" applyFill="1" applyBorder="1" applyAlignment="1">
      <alignment horizontal="center" vertical="center"/>
    </xf>
    <xf numFmtId="179" fontId="16" fillId="4" borderId="3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179" fontId="9" fillId="4" borderId="3" xfId="0" applyNumberFormat="1" applyFont="1" applyFill="1" applyBorder="1" applyAlignment="1">
      <alignment horizontal="center" vertical="center"/>
    </xf>
    <xf numFmtId="179" fontId="9" fillId="7" borderId="3" xfId="0" applyNumberFormat="1" applyFont="1" applyFill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Alignment="1">
      <alignment horizontal="center" vertical="center"/>
    </xf>
    <xf numFmtId="179" fontId="16" fillId="7" borderId="3" xfId="0" applyNumberFormat="1" applyFont="1" applyFill="1" applyBorder="1" applyAlignment="1">
      <alignment horizontal="center" vertical="center"/>
    </xf>
    <xf numFmtId="179" fontId="16" fillId="4" borderId="4" xfId="0" applyNumberFormat="1" applyFont="1" applyFill="1" applyBorder="1" applyAlignment="1">
      <alignment horizontal="center" vertical="center"/>
    </xf>
    <xf numFmtId="179" fontId="15" fillId="7" borderId="3" xfId="0" applyNumberFormat="1" applyFont="1" applyFill="1" applyBorder="1" applyAlignment="1">
      <alignment horizontal="center" vertical="center"/>
    </xf>
    <xf numFmtId="179" fontId="15" fillId="4" borderId="4" xfId="0" applyNumberFormat="1" applyFont="1" applyFill="1" applyBorder="1" applyAlignment="1">
      <alignment horizontal="center" vertical="center"/>
    </xf>
    <xf numFmtId="179" fontId="15" fillId="7" borderId="4" xfId="0" applyNumberFormat="1" applyFont="1" applyFill="1" applyBorder="1" applyAlignment="1">
      <alignment horizontal="center" vertical="center"/>
    </xf>
    <xf numFmtId="179" fontId="9" fillId="4" borderId="4" xfId="0" applyNumberFormat="1" applyFont="1" applyFill="1" applyBorder="1" applyAlignment="1">
      <alignment horizontal="center" vertical="center"/>
    </xf>
    <xf numFmtId="187" fontId="10" fillId="4" borderId="3" xfId="0" applyNumberFormat="1" applyFont="1" applyFill="1" applyBorder="1" applyAlignment="1">
      <alignment horizontal="center" vertical="center"/>
    </xf>
    <xf numFmtId="187" fontId="10" fillId="4" borderId="4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9" fontId="13" fillId="4" borderId="1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 indent="1"/>
    </xf>
    <xf numFmtId="0" fontId="10" fillId="4" borderId="10" xfId="0" applyFont="1" applyFill="1" applyBorder="1" applyAlignment="1">
      <alignment horizontal="righ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79" fontId="10" fillId="4" borderId="8" xfId="0" applyNumberFormat="1" applyFont="1" applyFill="1" applyBorder="1" applyAlignment="1">
      <alignment horizontal="center" vertical="center"/>
    </xf>
    <xf numFmtId="179" fontId="10" fillId="4" borderId="9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9" fontId="10" fillId="4" borderId="12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77" fontId="13" fillId="4" borderId="1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5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</cellStyles>
  <dxfs count="0"/>
  <tableStyles count="0" defaultTableStyle="TableStyleMedium2" defaultPivotStyle="PivotStyleMedium7"/>
  <colors>
    <mruColors>
      <color rgb="FF375888"/>
      <color rgb="FFEBEBFF"/>
      <color rgb="FF708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</c:v>
                </c:pt>
                <c:pt idx="1">
                  <c:v>0.25853711084707243</c:v>
                </c:pt>
                <c:pt idx="2">
                  <c:v>0.53861898093221328</c:v>
                </c:pt>
                <c:pt idx="3">
                  <c:v>0.81870085101741097</c:v>
                </c:pt>
                <c:pt idx="4">
                  <c:v>1.1095551007211526</c:v>
                </c:pt>
                <c:pt idx="5">
                  <c:v>1.3788645911877211</c:v>
                </c:pt>
                <c:pt idx="6">
                  <c:v>1.648174081654318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</c:v>
                </c:pt>
                <c:pt idx="1">
                  <c:v>0.23699235161082299</c:v>
                </c:pt>
                <c:pt idx="2">
                  <c:v>0.45243994398353493</c:v>
                </c:pt>
                <c:pt idx="3">
                  <c:v>0.66788753635715636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</c:v>
                </c:pt>
                <c:pt idx="1">
                  <c:v>0.47999999999998977</c:v>
                </c:pt>
                <c:pt idx="2">
                  <c:v>1.0080000000000382</c:v>
                </c:pt>
                <c:pt idx="3">
                  <c:v>1.5875999999999948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</c:v>
                </c:pt>
                <c:pt idx="1">
                  <c:v>0.68999999999999773</c:v>
                </c:pt>
                <c:pt idx="2">
                  <c:v>1.4600000000000222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62352"/>
        <c:axId val="324423216"/>
      </c:scatterChart>
      <c:valAx>
        <c:axId val="22646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24423216"/>
        <c:crosses val="autoZero"/>
        <c:crossBetween val="midCat"/>
      </c:valAx>
      <c:valAx>
        <c:axId val="3244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646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897"/>
          <c:y val="0.37559204814227098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A79986-658F-4246-9E44-98677C25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C3DF55-5814-48F3-98DB-04FF65A9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gheping\Downloads\&#20026;&#20160;&#20040;&#22806;&#22269;&#20154;&#20570;&#30340;&#34920;&#26684;&#31455;&#22914;&#27492;&#28418;&#20142;\BusinessPlanner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Planner_Demo"/>
      <sheetName val="Loan Amortization Schedule"/>
    </sheetNames>
    <definedNames>
      <definedName name="End_Bal"/>
      <definedName name="Interest_Rate"/>
      <definedName name="Loan_Amount"/>
      <definedName name="Loan_Start"/>
      <definedName name="Loan_Years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8DB5-3519-4EFE-A234-C2EB59CA47F9}">
  <sheetPr>
    <pageSetUpPr fitToPage="1"/>
  </sheetPr>
  <dimension ref="A2:AK79"/>
  <sheetViews>
    <sheetView view="pageBreakPreview" zoomScaleNormal="91" zoomScaleSheetLayoutView="83" workbookViewId="0">
      <selection activeCell="AC9" sqref="AC9"/>
    </sheetView>
  </sheetViews>
  <sheetFormatPr defaultColWidth="15.77734375" defaultRowHeight="13.8" x14ac:dyDescent="0.25"/>
  <cols>
    <col min="1" max="1" width="15.77734375" style="2"/>
    <col min="2" max="2" width="5.33203125" style="2" bestFit="1" customWidth="1"/>
    <col min="3" max="3" width="14.109375" style="1" bestFit="1" customWidth="1"/>
    <col min="4" max="4" width="5.6640625" style="1" bestFit="1" customWidth="1"/>
    <col min="5" max="5" width="11.77734375" style="2" customWidth="1"/>
    <col min="6" max="6" width="10" style="2" bestFit="1" customWidth="1"/>
    <col min="7" max="8" width="12.77734375" style="2" bestFit="1" customWidth="1"/>
    <col min="9" max="9" width="7.77734375" style="2" bestFit="1" customWidth="1"/>
    <col min="10" max="10" width="10.109375" style="2" bestFit="1" customWidth="1"/>
    <col min="11" max="11" width="7.77734375" style="1" bestFit="1" customWidth="1"/>
    <col min="12" max="12" width="10.109375" style="1" bestFit="1" customWidth="1"/>
    <col min="13" max="13" width="7.77734375" style="1" bestFit="1" customWidth="1"/>
    <col min="14" max="14" width="10.109375" style="1" bestFit="1" customWidth="1"/>
    <col min="15" max="15" width="7.77734375" style="1" bestFit="1" customWidth="1"/>
    <col min="16" max="17" width="9.77734375" style="1" customWidth="1"/>
    <col min="18" max="18" width="9.77734375" style="1" hidden="1" customWidth="1"/>
    <col min="19" max="19" width="9" style="1" hidden="1" customWidth="1"/>
    <col min="20" max="22" width="9.77734375" style="1" hidden="1" customWidth="1"/>
    <col min="23" max="23" width="9" style="1" hidden="1" customWidth="1"/>
    <col min="24" max="24" width="15.77734375" style="1" hidden="1" customWidth="1"/>
    <col min="25" max="25" width="9" style="1" hidden="1" customWidth="1"/>
    <col min="26" max="26" width="10.6640625" style="1" hidden="1" customWidth="1"/>
    <col min="27" max="27" width="12.109375" style="1" hidden="1" customWidth="1"/>
    <col min="28" max="28" width="13.33203125" style="1" hidden="1" customWidth="1"/>
    <col min="29" max="29" width="13.33203125" style="1" customWidth="1"/>
    <col min="30" max="30" width="7.77734375" style="1" customWidth="1"/>
    <col min="31" max="31" width="13.33203125" style="1" customWidth="1"/>
    <col min="32" max="32" width="7.77734375" style="1" customWidth="1"/>
    <col min="33" max="33" width="13.33203125" style="1" customWidth="1"/>
    <col min="34" max="34" width="7.77734375" style="1" customWidth="1"/>
    <col min="35" max="35" width="13.33203125" style="1" customWidth="1"/>
    <col min="36" max="36" width="7.77734375" style="1" customWidth="1"/>
    <col min="37" max="37" width="12.44140625" style="1" customWidth="1"/>
    <col min="38" max="16384" width="15.77734375" style="2"/>
  </cols>
  <sheetData>
    <row r="2" spans="2:37" ht="20.399999999999999" x14ac:dyDescent="0.25">
      <c r="B2" s="95" t="s">
        <v>77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AK2" s="2"/>
    </row>
    <row r="3" spans="2:37" ht="16.95" customHeight="1" x14ac:dyDescent="0.25">
      <c r="B3" s="96" t="s">
        <v>78</v>
      </c>
      <c r="C3" s="96"/>
      <c r="D3" s="96"/>
      <c r="E3" s="96"/>
      <c r="F3" s="96"/>
      <c r="G3" s="96"/>
      <c r="H3" s="96"/>
      <c r="I3" s="96"/>
      <c r="J3" s="1"/>
      <c r="AK3" s="2"/>
    </row>
    <row r="4" spans="2:37" ht="4.95" customHeight="1" x14ac:dyDescent="0.2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5" x14ac:dyDescent="0.25">
      <c r="B5" s="97" t="s">
        <v>69</v>
      </c>
      <c r="C5" s="97"/>
      <c r="D5" s="97" t="s">
        <v>70</v>
      </c>
      <c r="E5" s="97"/>
      <c r="F5" s="74" t="s">
        <v>46</v>
      </c>
      <c r="G5" s="74" t="s">
        <v>71</v>
      </c>
      <c r="H5" s="74" t="s">
        <v>72</v>
      </c>
    </row>
    <row r="6" spans="2:37" ht="16.2" x14ac:dyDescent="0.25">
      <c r="B6" s="98" t="s">
        <v>79</v>
      </c>
      <c r="C6" s="99"/>
      <c r="D6" s="100">
        <v>78.808000000000007</v>
      </c>
      <c r="E6" s="100"/>
      <c r="F6" s="62">
        <v>100</v>
      </c>
      <c r="G6" s="63">
        <f>AVERAGE(E49,E25,E46,E47,E35,E36,E57,E24,E58)</f>
        <v>101.87239521650366</v>
      </c>
      <c r="H6" s="67" t="s">
        <v>116</v>
      </c>
    </row>
    <row r="7" spans="2:37" ht="14.4" thickBot="1" x14ac:dyDescent="0.3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5.6" thickBot="1" x14ac:dyDescent="0.3">
      <c r="B8" s="87" t="s">
        <v>64</v>
      </c>
      <c r="C8" s="88"/>
      <c r="D8" s="89" t="s">
        <v>80</v>
      </c>
      <c r="E8" s="90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5.6" thickBot="1" x14ac:dyDescent="0.3">
      <c r="B9" s="87" t="s">
        <v>65</v>
      </c>
      <c r="C9" s="88"/>
      <c r="D9" s="89" t="s">
        <v>94</v>
      </c>
      <c r="E9" s="90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5.6" thickBot="1" x14ac:dyDescent="0.3">
      <c r="B10" s="87" t="s">
        <v>62</v>
      </c>
      <c r="C10" s="88"/>
      <c r="D10" s="91" t="s">
        <v>115</v>
      </c>
      <c r="E10" s="92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5.6" thickBot="1" x14ac:dyDescent="0.3">
      <c r="B11" s="87" t="s">
        <v>63</v>
      </c>
      <c r="C11" s="88"/>
      <c r="D11" s="89" t="s">
        <v>115</v>
      </c>
      <c r="E11" s="90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4.95" customHeight="1" x14ac:dyDescent="0.2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5.6" x14ac:dyDescent="0.25">
      <c r="B13" s="35" t="s">
        <v>47</v>
      </c>
      <c r="C13" s="35" t="s">
        <v>45</v>
      </c>
      <c r="D13" s="35" t="s">
        <v>68</v>
      </c>
      <c r="E13" s="35" t="s">
        <v>49</v>
      </c>
      <c r="F13" s="35" t="s">
        <v>50</v>
      </c>
      <c r="G13" s="35" t="s">
        <v>46</v>
      </c>
      <c r="H13" s="35" t="s">
        <v>51</v>
      </c>
      <c r="I13" s="35" t="s">
        <v>46</v>
      </c>
      <c r="J13" s="35" t="s">
        <v>52</v>
      </c>
      <c r="K13" s="35" t="s">
        <v>46</v>
      </c>
      <c r="L13" s="35" t="s">
        <v>53</v>
      </c>
      <c r="M13" s="35" t="s">
        <v>46</v>
      </c>
      <c r="N13" s="35" t="s">
        <v>54</v>
      </c>
      <c r="O13" s="35" t="s">
        <v>46</v>
      </c>
      <c r="P13" s="39"/>
      <c r="Q13" s="39"/>
      <c r="R13" s="39" t="s">
        <v>55</v>
      </c>
      <c r="S13" s="39"/>
      <c r="T13" s="39" t="s">
        <v>56</v>
      </c>
      <c r="U13" s="39"/>
      <c r="V13" s="39" t="s">
        <v>57</v>
      </c>
      <c r="W13" s="39"/>
      <c r="X13" s="39" t="s">
        <v>58</v>
      </c>
      <c r="Y13" s="39"/>
      <c r="Z13" s="39" t="s">
        <v>59</v>
      </c>
      <c r="AA13" s="39"/>
      <c r="AB13" s="39" t="s">
        <v>48</v>
      </c>
      <c r="AD13" s="2"/>
      <c r="AE13" s="2"/>
      <c r="AF13" s="2"/>
      <c r="AG13" s="2"/>
      <c r="AH13" s="2"/>
      <c r="AI13" s="2"/>
      <c r="AJ13" s="2"/>
      <c r="AK13" s="2"/>
    </row>
    <row r="14" spans="2:37" ht="15" x14ac:dyDescent="0.25">
      <c r="B14" s="40">
        <v>98</v>
      </c>
      <c r="C14" s="41" t="s">
        <v>74</v>
      </c>
      <c r="D14" s="57"/>
      <c r="E14" s="42" t="s">
        <v>115</v>
      </c>
      <c r="F14" s="42">
        <f>SUM(R14:S14)</f>
        <v>80.05</v>
      </c>
      <c r="G14" s="42">
        <f>F14*AB14</f>
        <v>101.5759821337935</v>
      </c>
      <c r="H14" s="66" t="s">
        <v>115</v>
      </c>
      <c r="I14" s="66" t="s">
        <v>115</v>
      </c>
      <c r="J14" s="66" t="s">
        <v>115</v>
      </c>
      <c r="K14" s="66" t="s">
        <v>115</v>
      </c>
      <c r="L14" s="65">
        <f>L15</f>
        <v>81.004999999999995</v>
      </c>
      <c r="M14" s="65">
        <f>L14*AB14</f>
        <v>102.78778804182315</v>
      </c>
      <c r="N14" s="65">
        <f>N15</f>
        <v>81.253</v>
      </c>
      <c r="O14" s="65">
        <f>N14*AB14</f>
        <v>103.10247690589786</v>
      </c>
      <c r="P14" s="39"/>
      <c r="Q14" s="39"/>
      <c r="R14" s="43">
        <v>60</v>
      </c>
      <c r="S14" s="44">
        <v>20.05</v>
      </c>
      <c r="T14" s="43">
        <v>60</v>
      </c>
      <c r="U14" s="68" t="s">
        <v>115</v>
      </c>
      <c r="V14" s="43">
        <v>60</v>
      </c>
      <c r="W14" s="68" t="s">
        <v>115</v>
      </c>
      <c r="X14" s="71">
        <v>60</v>
      </c>
      <c r="Y14" s="68">
        <v>21.004999999999999</v>
      </c>
      <c r="Z14" s="71">
        <v>60</v>
      </c>
      <c r="AA14" s="68">
        <v>21.253</v>
      </c>
      <c r="AB14" s="39">
        <f>F6/D6</f>
        <v>1.2689067099786822</v>
      </c>
      <c r="AD14" s="2"/>
      <c r="AE14" s="2"/>
      <c r="AF14" s="2"/>
      <c r="AG14" s="2"/>
      <c r="AH14" s="2"/>
      <c r="AI14" s="2"/>
      <c r="AJ14" s="2"/>
      <c r="AK14" s="2"/>
    </row>
    <row r="15" spans="2:37" ht="15" x14ac:dyDescent="0.25">
      <c r="B15" s="45">
        <v>95</v>
      </c>
      <c r="C15" s="36" t="s">
        <v>75</v>
      </c>
      <c r="D15" s="58"/>
      <c r="E15" s="46" t="s">
        <v>115</v>
      </c>
      <c r="F15" s="46">
        <f t="shared" ref="F15:F16" si="0">SUM(R15:S15)</f>
        <v>80.254000000000005</v>
      </c>
      <c r="G15" s="46">
        <f>F15*AB15</f>
        <v>101.83483910262916</v>
      </c>
      <c r="H15" s="77" t="s">
        <v>115</v>
      </c>
      <c r="I15" s="77" t="s">
        <v>115</v>
      </c>
      <c r="J15" s="77" t="s">
        <v>115</v>
      </c>
      <c r="K15" s="77" t="s">
        <v>115</v>
      </c>
      <c r="L15" s="46">
        <f>SUM(X15:Y15)</f>
        <v>81.004999999999995</v>
      </c>
      <c r="M15" s="46">
        <f>L15*AB15</f>
        <v>102.78778804182315</v>
      </c>
      <c r="N15" s="46">
        <f>SUM(Z15:AA15)</f>
        <v>81.253</v>
      </c>
      <c r="O15" s="46">
        <f>N15*AB15</f>
        <v>103.10247690589786</v>
      </c>
      <c r="P15" s="39"/>
      <c r="Q15" s="39"/>
      <c r="R15" s="43">
        <v>60</v>
      </c>
      <c r="S15" s="44">
        <v>20.254000000000001</v>
      </c>
      <c r="T15" s="43">
        <v>60</v>
      </c>
      <c r="U15" s="76" t="s">
        <v>115</v>
      </c>
      <c r="V15" s="43">
        <v>60</v>
      </c>
      <c r="W15" s="68" t="s">
        <v>115</v>
      </c>
      <c r="X15" s="71">
        <v>60</v>
      </c>
      <c r="Y15" s="68">
        <v>21.004999999999999</v>
      </c>
      <c r="Z15" s="71">
        <v>60</v>
      </c>
      <c r="AA15" s="68">
        <v>21.253</v>
      </c>
      <c r="AB15" s="39">
        <f>F6/D6</f>
        <v>1.2689067099786822</v>
      </c>
      <c r="AD15" s="2"/>
      <c r="AE15" s="2"/>
      <c r="AF15" s="2"/>
      <c r="AG15" s="2"/>
      <c r="AH15" s="2"/>
      <c r="AI15" s="2"/>
      <c r="AJ15" s="2"/>
      <c r="AK15" s="2"/>
    </row>
    <row r="16" spans="2:37" ht="15" x14ac:dyDescent="0.25">
      <c r="B16" s="52">
        <v>96</v>
      </c>
      <c r="C16" s="53" t="s">
        <v>112</v>
      </c>
      <c r="D16" s="60"/>
      <c r="E16" s="54" t="s">
        <v>115</v>
      </c>
      <c r="F16" s="54">
        <f t="shared" si="0"/>
        <v>79.963999999999999</v>
      </c>
      <c r="G16" s="54">
        <f>F16*AB16</f>
        <v>101.46685615673533</v>
      </c>
      <c r="H16" s="78" t="s">
        <v>115</v>
      </c>
      <c r="I16" s="78" t="s">
        <v>115</v>
      </c>
      <c r="J16" s="78" t="s">
        <v>115</v>
      </c>
      <c r="K16" s="78" t="s">
        <v>115</v>
      </c>
      <c r="L16" s="80">
        <f>L15</f>
        <v>81.004999999999995</v>
      </c>
      <c r="M16" s="80">
        <f>L16*AB16</f>
        <v>102.78778804182315</v>
      </c>
      <c r="N16" s="80">
        <f>N15</f>
        <v>81.253</v>
      </c>
      <c r="O16" s="80">
        <f>N16*AB16</f>
        <v>103.10247690589786</v>
      </c>
      <c r="P16" s="39"/>
      <c r="Q16" s="39"/>
      <c r="R16" s="43">
        <v>60</v>
      </c>
      <c r="S16" s="44">
        <v>19.963999999999999</v>
      </c>
      <c r="T16" s="43">
        <v>60</v>
      </c>
      <c r="U16" s="76" t="s">
        <v>115</v>
      </c>
      <c r="V16" s="43">
        <v>60</v>
      </c>
      <c r="W16" s="68" t="s">
        <v>115</v>
      </c>
      <c r="X16" s="71">
        <v>60</v>
      </c>
      <c r="Y16" s="68">
        <v>21.004999999999999</v>
      </c>
      <c r="Z16" s="71">
        <v>60</v>
      </c>
      <c r="AA16" s="68">
        <v>21.253</v>
      </c>
      <c r="AB16" s="39">
        <f>F6/D6</f>
        <v>1.2689067099786822</v>
      </c>
      <c r="AD16" s="2"/>
      <c r="AE16" s="2"/>
      <c r="AF16" s="2"/>
      <c r="AG16" s="2"/>
      <c r="AH16" s="2"/>
      <c r="AI16" s="2"/>
      <c r="AJ16" s="2"/>
      <c r="AK16" s="2"/>
    </row>
    <row r="17" spans="2:37" ht="16.95" customHeight="1" thickBot="1" x14ac:dyDescent="0.3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5.6" thickBot="1" x14ac:dyDescent="0.3">
      <c r="B18" s="87" t="s">
        <v>64</v>
      </c>
      <c r="C18" s="88"/>
      <c r="D18" s="89" t="s">
        <v>67</v>
      </c>
      <c r="E18" s="90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5.6" thickBot="1" x14ac:dyDescent="0.3">
      <c r="B19" s="87" t="s">
        <v>65</v>
      </c>
      <c r="C19" s="88"/>
      <c r="D19" s="89" t="s">
        <v>81</v>
      </c>
      <c r="E19" s="90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5.6" thickBot="1" x14ac:dyDescent="0.3">
      <c r="B20" s="87" t="s">
        <v>62</v>
      </c>
      <c r="C20" s="88"/>
      <c r="D20" s="91">
        <f>AVERAGE(E24,E25)</f>
        <v>101.96490204040197</v>
      </c>
      <c r="E20" s="92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5.6" thickBot="1" x14ac:dyDescent="0.3">
      <c r="B21" s="87" t="s">
        <v>63</v>
      </c>
      <c r="C21" s="88"/>
      <c r="D21" s="89" t="s">
        <v>111</v>
      </c>
      <c r="E21" s="90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4.95" customHeight="1" x14ac:dyDescent="0.25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5.6" x14ac:dyDescent="0.25">
      <c r="B23" s="35" t="s">
        <v>47</v>
      </c>
      <c r="C23" s="35" t="s">
        <v>45</v>
      </c>
      <c r="D23" s="35" t="s">
        <v>68</v>
      </c>
      <c r="E23" s="35" t="s">
        <v>49</v>
      </c>
      <c r="F23" s="35" t="s">
        <v>50</v>
      </c>
      <c r="G23" s="35" t="s">
        <v>46</v>
      </c>
      <c r="H23" s="35" t="s">
        <v>51</v>
      </c>
      <c r="I23" s="35" t="s">
        <v>46</v>
      </c>
      <c r="J23" s="35" t="s">
        <v>52</v>
      </c>
      <c r="K23" s="35" t="s">
        <v>46</v>
      </c>
      <c r="L23" s="35" t="s">
        <v>53</v>
      </c>
      <c r="M23" s="35" t="s">
        <v>46</v>
      </c>
      <c r="N23" s="35" t="s">
        <v>54</v>
      </c>
      <c r="O23" s="35" t="s">
        <v>46</v>
      </c>
      <c r="P23" s="39"/>
      <c r="Q23" s="39"/>
      <c r="R23" s="39" t="s">
        <v>55</v>
      </c>
      <c r="S23" s="39"/>
      <c r="T23" s="39" t="s">
        <v>56</v>
      </c>
      <c r="U23" s="39"/>
      <c r="V23" s="39" t="s">
        <v>57</v>
      </c>
      <c r="W23" s="73"/>
      <c r="X23" s="73" t="s">
        <v>58</v>
      </c>
      <c r="Y23" s="73"/>
      <c r="Z23" s="73" t="s">
        <v>59</v>
      </c>
      <c r="AA23" s="73"/>
      <c r="AB23" s="39" t="s">
        <v>48</v>
      </c>
      <c r="AD23" s="2"/>
      <c r="AE23" s="2"/>
      <c r="AF23" s="2"/>
      <c r="AG23" s="2"/>
      <c r="AH23" s="2"/>
      <c r="AI23" s="2"/>
      <c r="AJ23" s="2"/>
      <c r="AK23" s="2"/>
    </row>
    <row r="24" spans="2:37" ht="15" x14ac:dyDescent="0.25">
      <c r="B24" s="40">
        <v>6</v>
      </c>
      <c r="C24" s="41" t="s">
        <v>83</v>
      </c>
      <c r="D24" s="57">
        <v>8</v>
      </c>
      <c r="E24" s="42">
        <f>G24*0.5+I24*0.125+K24*0.125+M24*0.125+O24*0.125</f>
        <v>102.87930793828036</v>
      </c>
      <c r="F24" s="42">
        <f>SUM(R24:S24)</f>
        <v>80.548000000000002</v>
      </c>
      <c r="G24" s="42">
        <f>F24*AB24</f>
        <v>102.20789767536289</v>
      </c>
      <c r="H24" s="42">
        <f>SUM(T24:U24)</f>
        <v>81.47</v>
      </c>
      <c r="I24" s="42">
        <f>H24*AB24</f>
        <v>103.37782966196323</v>
      </c>
      <c r="J24" s="42">
        <f>SUM(V24:W24)</f>
        <v>82.087999999999994</v>
      </c>
      <c r="K24" s="42">
        <f>J24*AB24</f>
        <v>104.16201400873005</v>
      </c>
      <c r="L24" s="42">
        <f>SUM(X24:Y24)</f>
        <v>81.341000000000008</v>
      </c>
      <c r="M24" s="42">
        <f>L24*AB24</f>
        <v>103.21414069637599</v>
      </c>
      <c r="N24" s="42">
        <f>SUM(Z24:AA24)</f>
        <v>81.525999999999996</v>
      </c>
      <c r="O24" s="42">
        <f>N24*AB24</f>
        <v>103.44888843772203</v>
      </c>
      <c r="P24" s="39"/>
      <c r="Q24" s="39"/>
      <c r="R24" s="43">
        <v>60</v>
      </c>
      <c r="S24" s="44">
        <v>20.547999999999998</v>
      </c>
      <c r="T24" s="43">
        <v>60</v>
      </c>
      <c r="U24" s="44">
        <v>21.47</v>
      </c>
      <c r="V24" s="43">
        <v>60</v>
      </c>
      <c r="W24" s="68">
        <v>22.088000000000001</v>
      </c>
      <c r="X24" s="71">
        <v>60</v>
      </c>
      <c r="Y24" s="68">
        <v>21.341000000000001</v>
      </c>
      <c r="Z24" s="71">
        <v>60</v>
      </c>
      <c r="AA24" s="68">
        <v>21.526</v>
      </c>
      <c r="AB24" s="39">
        <f>F6/D6</f>
        <v>1.2689067099786822</v>
      </c>
      <c r="AD24" s="2"/>
      <c r="AE24" s="2"/>
      <c r="AF24" s="2"/>
      <c r="AG24" s="2"/>
      <c r="AH24" s="2"/>
      <c r="AI24" s="2"/>
      <c r="AJ24" s="2"/>
      <c r="AK24" s="2"/>
    </row>
    <row r="25" spans="2:37" ht="15" x14ac:dyDescent="0.25">
      <c r="B25" s="45">
        <v>8</v>
      </c>
      <c r="C25" s="36" t="s">
        <v>76</v>
      </c>
      <c r="D25" s="58">
        <v>2</v>
      </c>
      <c r="E25" s="46">
        <f t="shared" ref="E25:E27" si="1">G25*0.5+I25*0.125+K25*0.125+M25*0.125+O25*0.125</f>
        <v>101.05049614252358</v>
      </c>
      <c r="F25" s="46">
        <f t="shared" ref="F25:F27" si="2">SUM(R25:S25)</f>
        <v>79.147999999999996</v>
      </c>
      <c r="G25" s="46">
        <f>F25*AB25</f>
        <v>100.43142828139273</v>
      </c>
      <c r="H25" s="46">
        <f t="shared" ref="H25:H27" si="3">SUM(T25:U25)</f>
        <v>80.174000000000007</v>
      </c>
      <c r="I25" s="46">
        <f>H25*AB25</f>
        <v>101.73332656583086</v>
      </c>
      <c r="J25" s="46">
        <f t="shared" ref="J25:J27" si="4">SUM(V25:W25)</f>
        <v>80.248999999999995</v>
      </c>
      <c r="K25" s="46">
        <f>J25*AB25</f>
        <v>101.82849456907925</v>
      </c>
      <c r="L25" s="46">
        <f t="shared" ref="L25:L27" si="5">SUM(X25:Y25)</f>
        <v>79.971000000000004</v>
      </c>
      <c r="M25" s="46">
        <f>L25*AB25</f>
        <v>101.4757385037052</v>
      </c>
      <c r="N25" s="46">
        <f t="shared" ref="N25:N27" si="6">SUM(Z25:AA25)</f>
        <v>80.100999999999999</v>
      </c>
      <c r="O25" s="70">
        <f>N25*AB25</f>
        <v>101.64069637600242</v>
      </c>
      <c r="P25" s="39"/>
      <c r="Q25" s="39"/>
      <c r="R25" s="43">
        <v>60</v>
      </c>
      <c r="S25" s="44">
        <v>19.148</v>
      </c>
      <c r="T25" s="43">
        <v>60</v>
      </c>
      <c r="U25" s="68">
        <v>20.173999999999999</v>
      </c>
      <c r="V25" s="43">
        <v>60</v>
      </c>
      <c r="W25" s="68">
        <v>20.248999999999999</v>
      </c>
      <c r="X25" s="71">
        <v>60</v>
      </c>
      <c r="Y25" s="68">
        <v>19.971</v>
      </c>
      <c r="Z25" s="71">
        <v>60</v>
      </c>
      <c r="AA25" s="68">
        <v>20.100999999999999</v>
      </c>
      <c r="AB25" s="39">
        <f>F6/D6</f>
        <v>1.2689067099786822</v>
      </c>
      <c r="AD25" s="2"/>
      <c r="AE25" s="2"/>
      <c r="AF25" s="2"/>
      <c r="AG25" s="2"/>
      <c r="AH25" s="2"/>
      <c r="AI25" s="2"/>
      <c r="AJ25" s="2"/>
      <c r="AK25" s="2"/>
    </row>
    <row r="26" spans="2:37" ht="15" x14ac:dyDescent="0.25">
      <c r="B26" s="40">
        <v>9</v>
      </c>
      <c r="C26" s="41" t="s">
        <v>113</v>
      </c>
      <c r="D26" s="57">
        <v>14</v>
      </c>
      <c r="E26" s="42">
        <f t="shared" si="1"/>
        <v>115.1207681961222</v>
      </c>
      <c r="F26" s="42">
        <f t="shared" si="2"/>
        <v>79.353999999999999</v>
      </c>
      <c r="G26" s="42">
        <f>F26*AB26</f>
        <v>100.69282306364835</v>
      </c>
      <c r="H26" s="42">
        <f t="shared" si="3"/>
        <v>80.492000000000004</v>
      </c>
      <c r="I26" s="42">
        <f>H26*AB26</f>
        <v>102.13683889960409</v>
      </c>
      <c r="J26" s="42">
        <f t="shared" si="4"/>
        <v>81.114999999999995</v>
      </c>
      <c r="K26" s="42">
        <f>J26*AB26</f>
        <v>102.9273677799208</v>
      </c>
      <c r="L26" s="42">
        <f t="shared" si="5"/>
        <v>103.98599999999999</v>
      </c>
      <c r="M26" s="42">
        <f>L26*AB26</f>
        <v>131.94853314384324</v>
      </c>
      <c r="N26" s="42">
        <f t="shared" si="6"/>
        <v>142.786</v>
      </c>
      <c r="O26" s="69">
        <f>N26*AB26</f>
        <v>181.18211349101611</v>
      </c>
      <c r="P26" s="39"/>
      <c r="Q26" s="39"/>
      <c r="R26" s="43">
        <v>60</v>
      </c>
      <c r="S26" s="44">
        <v>19.353999999999999</v>
      </c>
      <c r="T26" s="43">
        <v>60</v>
      </c>
      <c r="U26" s="68">
        <v>20.492000000000001</v>
      </c>
      <c r="V26" s="43">
        <v>60</v>
      </c>
      <c r="W26" s="68">
        <v>21.114999999999998</v>
      </c>
      <c r="X26" s="71">
        <v>60</v>
      </c>
      <c r="Y26" s="68">
        <v>43.985999999999997</v>
      </c>
      <c r="Z26" s="71">
        <v>60</v>
      </c>
      <c r="AA26" s="68">
        <v>82.786000000000001</v>
      </c>
      <c r="AB26" s="39">
        <f>F6/D6</f>
        <v>1.2689067099786822</v>
      </c>
      <c r="AD26" s="2"/>
      <c r="AE26" s="2"/>
      <c r="AF26" s="2"/>
      <c r="AG26" s="2"/>
      <c r="AH26" s="2"/>
      <c r="AI26" s="2"/>
      <c r="AJ26" s="2"/>
      <c r="AK26" s="2"/>
    </row>
    <row r="27" spans="2:37" ht="15" x14ac:dyDescent="0.25">
      <c r="B27" s="47">
        <v>7</v>
      </c>
      <c r="C27" s="48" t="s">
        <v>84</v>
      </c>
      <c r="D27" s="59">
        <v>12</v>
      </c>
      <c r="E27" s="49">
        <f t="shared" si="1"/>
        <v>104.30365572023143</v>
      </c>
      <c r="F27" s="49">
        <f t="shared" si="2"/>
        <v>81.888000000000005</v>
      </c>
      <c r="G27" s="49">
        <f>F27*AB27</f>
        <v>103.90823266673434</v>
      </c>
      <c r="H27" s="49">
        <f t="shared" si="3"/>
        <v>82.715000000000003</v>
      </c>
      <c r="I27" s="49">
        <f>H27*AB27</f>
        <v>104.95761851588669</v>
      </c>
      <c r="J27" s="49">
        <f t="shared" si="4"/>
        <v>82.78</v>
      </c>
      <c r="K27" s="49">
        <f>J27*AB27</f>
        <v>105.04009745203531</v>
      </c>
      <c r="L27" s="49">
        <f t="shared" si="5"/>
        <v>81.966000000000008</v>
      </c>
      <c r="M27" s="49">
        <f>L27*AB27</f>
        <v>104.00720739011267</v>
      </c>
      <c r="N27" s="49">
        <f t="shared" si="6"/>
        <v>82.584000000000003</v>
      </c>
      <c r="O27" s="49">
        <f>N27*AB27</f>
        <v>104.79139173687949</v>
      </c>
      <c r="P27" s="39"/>
      <c r="Q27" s="39"/>
      <c r="R27" s="43">
        <v>60</v>
      </c>
      <c r="S27" s="44">
        <v>21.888000000000002</v>
      </c>
      <c r="T27" s="43">
        <v>60</v>
      </c>
      <c r="U27" s="44">
        <v>22.715</v>
      </c>
      <c r="V27" s="43">
        <v>60</v>
      </c>
      <c r="W27" s="68">
        <v>22.78</v>
      </c>
      <c r="X27" s="71">
        <v>60</v>
      </c>
      <c r="Y27" s="68">
        <v>21.966000000000001</v>
      </c>
      <c r="Z27" s="71">
        <v>60</v>
      </c>
      <c r="AA27" s="68">
        <v>22.584</v>
      </c>
      <c r="AB27" s="39">
        <f>F6/D6</f>
        <v>1.2689067099786822</v>
      </c>
      <c r="AD27" s="2"/>
      <c r="AE27" s="2"/>
      <c r="AF27" s="2"/>
      <c r="AG27" s="2"/>
      <c r="AH27" s="2"/>
      <c r="AI27" s="2"/>
      <c r="AJ27" s="2"/>
      <c r="AK27" s="2"/>
    </row>
    <row r="28" spans="2:37" ht="14.4" thickBot="1" x14ac:dyDescent="0.3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5.6" thickBot="1" x14ac:dyDescent="0.3">
      <c r="B29" s="87" t="s">
        <v>64</v>
      </c>
      <c r="C29" s="88"/>
      <c r="D29" s="89" t="s">
        <v>61</v>
      </c>
      <c r="E29" s="93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5.6" thickBot="1" x14ac:dyDescent="0.3">
      <c r="B30" s="87" t="s">
        <v>65</v>
      </c>
      <c r="C30" s="88"/>
      <c r="D30" s="89" t="s">
        <v>82</v>
      </c>
      <c r="E30" s="93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 x14ac:dyDescent="0.3">
      <c r="B31" s="87" t="s">
        <v>62</v>
      </c>
      <c r="C31" s="88"/>
      <c r="D31" s="91">
        <f>AVERAGE(E35,E36)</f>
        <v>101.98012892092171</v>
      </c>
      <c r="E31" s="94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.05" customHeight="1" thickBot="1" x14ac:dyDescent="0.3">
      <c r="B32" s="87" t="s">
        <v>63</v>
      </c>
      <c r="C32" s="88"/>
      <c r="D32" s="89" t="s">
        <v>111</v>
      </c>
      <c r="E32" s="93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4.95" customHeight="1" x14ac:dyDescent="0.25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5.6" x14ac:dyDescent="0.25">
      <c r="B34" s="35" t="s">
        <v>47</v>
      </c>
      <c r="C34" s="35" t="s">
        <v>45</v>
      </c>
      <c r="D34" s="35" t="s">
        <v>68</v>
      </c>
      <c r="E34" s="35" t="s">
        <v>49</v>
      </c>
      <c r="F34" s="35" t="s">
        <v>50</v>
      </c>
      <c r="G34" s="35" t="s">
        <v>46</v>
      </c>
      <c r="H34" s="35" t="s">
        <v>51</v>
      </c>
      <c r="I34" s="35" t="s">
        <v>46</v>
      </c>
      <c r="J34" s="35" t="s">
        <v>52</v>
      </c>
      <c r="K34" s="35" t="s">
        <v>46</v>
      </c>
      <c r="L34" s="35" t="s">
        <v>53</v>
      </c>
      <c r="M34" s="35" t="s">
        <v>46</v>
      </c>
      <c r="N34" s="35" t="s">
        <v>54</v>
      </c>
      <c r="O34" s="35" t="s">
        <v>46</v>
      </c>
      <c r="P34" s="39"/>
      <c r="Q34" s="39"/>
      <c r="R34" s="39" t="s">
        <v>55</v>
      </c>
      <c r="S34" s="39"/>
      <c r="T34" s="39" t="s">
        <v>56</v>
      </c>
      <c r="U34" s="39"/>
      <c r="V34" s="39" t="s">
        <v>57</v>
      </c>
      <c r="W34" s="73"/>
      <c r="X34" s="73" t="s">
        <v>58</v>
      </c>
      <c r="Y34" s="73"/>
      <c r="Z34" s="73" t="s">
        <v>59</v>
      </c>
      <c r="AA34" s="73"/>
      <c r="AB34" s="39" t="s">
        <v>48</v>
      </c>
      <c r="AD34" s="2"/>
      <c r="AE34" s="2"/>
      <c r="AF34" s="2"/>
      <c r="AG34" s="2"/>
      <c r="AH34" s="2"/>
      <c r="AI34" s="2"/>
      <c r="AJ34" s="2"/>
      <c r="AK34" s="2"/>
    </row>
    <row r="35" spans="2:37" ht="15" x14ac:dyDescent="0.25">
      <c r="B35" s="40">
        <v>22</v>
      </c>
      <c r="C35" s="41" t="s">
        <v>73</v>
      </c>
      <c r="D35" s="41">
        <v>5</v>
      </c>
      <c r="E35" s="42">
        <f>G35*0.5+I35*0.125+K35*0.125+M35*0.125+O35*0.125</f>
        <v>101.84689371637396</v>
      </c>
      <c r="F35" s="42">
        <f>SUM(R35:S35)</f>
        <v>79.989999999999995</v>
      </c>
      <c r="G35" s="42">
        <f>F35*AB35</f>
        <v>101.49984773119478</v>
      </c>
      <c r="H35" s="42">
        <f>SUM(T35:U35)</f>
        <v>80.045000000000002</v>
      </c>
      <c r="I35" s="42">
        <f>H35*AB35</f>
        <v>101.56963760024361</v>
      </c>
      <c r="J35" s="42">
        <f>SUM(V35:W35)</f>
        <v>80.393000000000001</v>
      </c>
      <c r="K35" s="42">
        <f>J35*AB35</f>
        <v>102.0112171353162</v>
      </c>
      <c r="L35" s="42">
        <f>SUM(X35:Y35)</f>
        <v>80.808999999999997</v>
      </c>
      <c r="M35" s="42">
        <f>L35*AB35</f>
        <v>102.53908232666733</v>
      </c>
      <c r="N35" s="42">
        <f>SUM(Z35:AA35)</f>
        <v>80.900999999999996</v>
      </c>
      <c r="O35" s="42">
        <f>N35*AB35</f>
        <v>102.65582174398536</v>
      </c>
      <c r="P35" s="39"/>
      <c r="Q35" s="39"/>
      <c r="R35" s="43">
        <v>60</v>
      </c>
      <c r="S35" s="44">
        <v>19.989999999999998</v>
      </c>
      <c r="T35" s="43">
        <v>60</v>
      </c>
      <c r="U35" s="44">
        <v>20.045000000000002</v>
      </c>
      <c r="V35" s="43">
        <v>60</v>
      </c>
      <c r="W35" s="68">
        <v>20.393000000000001</v>
      </c>
      <c r="X35" s="71">
        <v>60</v>
      </c>
      <c r="Y35" s="68">
        <v>20.809000000000001</v>
      </c>
      <c r="Z35" s="71">
        <v>60</v>
      </c>
      <c r="AA35" s="68">
        <v>20.901</v>
      </c>
      <c r="AB35" s="39">
        <f>F6/D6</f>
        <v>1.2689067099786822</v>
      </c>
      <c r="AD35" s="2"/>
      <c r="AE35" s="2"/>
      <c r="AF35" s="2"/>
      <c r="AG35" s="2"/>
      <c r="AH35" s="2"/>
      <c r="AI35" s="2"/>
      <c r="AJ35" s="2"/>
      <c r="AK35" s="2"/>
    </row>
    <row r="36" spans="2:37" ht="15" x14ac:dyDescent="0.25">
      <c r="B36" s="45">
        <v>2</v>
      </c>
      <c r="C36" s="36" t="s">
        <v>60</v>
      </c>
      <c r="D36" s="61">
        <v>6</v>
      </c>
      <c r="E36" s="46">
        <f t="shared" ref="E36:E38" si="7">G36*0.5+I36*0.125+K36*0.125+M36*0.125+O36*0.125</f>
        <v>102.11336412546949</v>
      </c>
      <c r="F36" s="46">
        <f t="shared" ref="F36:F38" si="8">SUM(R36:S36)</f>
        <v>79.762</v>
      </c>
      <c r="G36" s="46">
        <f>F36*AB36</f>
        <v>101.21053700131965</v>
      </c>
      <c r="H36" s="46">
        <f t="shared" ref="H36:H38" si="9">SUM(T36:U36)</f>
        <v>80.721000000000004</v>
      </c>
      <c r="I36" s="46">
        <f>H36*AB36</f>
        <v>102.42741853618921</v>
      </c>
      <c r="J36" s="46">
        <f t="shared" ref="J36:J38" si="10">SUM(V36:W36)</f>
        <v>81.442000000000007</v>
      </c>
      <c r="K36" s="46">
        <f>J36*AB36</f>
        <v>103.34230027408384</v>
      </c>
      <c r="L36" s="46">
        <f t="shared" ref="L36:L38" si="11">SUM(X36:Y36)</f>
        <v>81.244</v>
      </c>
      <c r="M36" s="46">
        <f>L36*AB36</f>
        <v>103.09105674550806</v>
      </c>
      <c r="N36" s="46">
        <f t="shared" ref="N36:N38" si="12">SUM(Z36:AA36)</f>
        <v>81.332999999999998</v>
      </c>
      <c r="O36" s="46">
        <f>N36*AB36</f>
        <v>103.20398944269616</v>
      </c>
      <c r="P36" s="39"/>
      <c r="Q36" s="39"/>
      <c r="R36" s="43">
        <v>60</v>
      </c>
      <c r="S36" s="44">
        <v>19.762</v>
      </c>
      <c r="T36" s="43">
        <v>60</v>
      </c>
      <c r="U36" s="68">
        <v>20.721</v>
      </c>
      <c r="V36" s="43">
        <v>60</v>
      </c>
      <c r="W36" s="68">
        <v>21.442</v>
      </c>
      <c r="X36" s="71">
        <v>60</v>
      </c>
      <c r="Y36" s="68">
        <v>21.244</v>
      </c>
      <c r="Z36" s="71">
        <v>60</v>
      </c>
      <c r="AA36" s="68">
        <v>21.332999999999998</v>
      </c>
      <c r="AB36" s="39">
        <f>F6/D6</f>
        <v>1.2689067099786822</v>
      </c>
      <c r="AD36" s="2"/>
      <c r="AE36" s="2"/>
      <c r="AF36" s="2"/>
      <c r="AG36" s="2"/>
      <c r="AH36" s="2"/>
      <c r="AI36" s="2"/>
      <c r="AJ36" s="2"/>
      <c r="AK36" s="2"/>
    </row>
    <row r="37" spans="2:37" ht="15" x14ac:dyDescent="0.25">
      <c r="B37" s="40">
        <v>12</v>
      </c>
      <c r="C37" s="41" t="s">
        <v>85</v>
      </c>
      <c r="D37" s="41">
        <v>11</v>
      </c>
      <c r="E37" s="42">
        <f t="shared" si="7"/>
        <v>103.48076971881027</v>
      </c>
      <c r="F37" s="42">
        <f t="shared" si="8"/>
        <v>81.180000000000007</v>
      </c>
      <c r="G37" s="42">
        <f>F37*AB37</f>
        <v>103.00984671606943</v>
      </c>
      <c r="H37" s="42">
        <f t="shared" si="9"/>
        <v>82.004999999999995</v>
      </c>
      <c r="I37" s="42">
        <f>H37*AB37</f>
        <v>104.05669475180183</v>
      </c>
      <c r="J37" s="42">
        <f t="shared" si="10"/>
        <v>82.245999999999995</v>
      </c>
      <c r="K37" s="42">
        <f>J37*AB37</f>
        <v>104.36250126890668</v>
      </c>
      <c r="L37" s="42">
        <f t="shared" si="11"/>
        <v>81.665999999999997</v>
      </c>
      <c r="M37" s="42">
        <f>L37*AB37</f>
        <v>103.62653537711905</v>
      </c>
      <c r="N37" s="42">
        <f t="shared" si="12"/>
        <v>81.771999999999991</v>
      </c>
      <c r="O37" s="69">
        <f>N37*AB37</f>
        <v>103.76103948837678</v>
      </c>
      <c r="P37" s="39"/>
      <c r="Q37" s="39"/>
      <c r="R37" s="43">
        <v>60</v>
      </c>
      <c r="S37" s="44">
        <v>21.18</v>
      </c>
      <c r="T37" s="43">
        <v>60</v>
      </c>
      <c r="U37" s="44">
        <v>22.004999999999999</v>
      </c>
      <c r="V37" s="43">
        <v>60</v>
      </c>
      <c r="W37" s="68">
        <v>22.245999999999999</v>
      </c>
      <c r="X37" s="71">
        <v>60</v>
      </c>
      <c r="Y37" s="68">
        <v>21.666</v>
      </c>
      <c r="Z37" s="71">
        <v>60</v>
      </c>
      <c r="AA37" s="68">
        <v>21.771999999999998</v>
      </c>
      <c r="AB37" s="39">
        <f>F6/D6</f>
        <v>1.2689067099786822</v>
      </c>
      <c r="AD37" s="2"/>
      <c r="AE37" s="2"/>
      <c r="AF37" s="2"/>
      <c r="AG37" s="2"/>
      <c r="AH37" s="2"/>
      <c r="AI37" s="2"/>
      <c r="AJ37" s="2"/>
      <c r="AK37" s="2"/>
    </row>
    <row r="38" spans="2:37" ht="15" x14ac:dyDescent="0.25">
      <c r="B38" s="47">
        <v>11</v>
      </c>
      <c r="C38" s="48" t="s">
        <v>86</v>
      </c>
      <c r="D38" s="48">
        <v>10</v>
      </c>
      <c r="E38" s="49">
        <f t="shared" si="7"/>
        <v>103.29186123236219</v>
      </c>
      <c r="F38" s="49">
        <f t="shared" si="8"/>
        <v>80.984000000000009</v>
      </c>
      <c r="G38" s="49">
        <f>F38*AB38</f>
        <v>102.76114100091361</v>
      </c>
      <c r="H38" s="49">
        <f t="shared" si="9"/>
        <v>81.872</v>
      </c>
      <c r="I38" s="49">
        <f>H38*AB38</f>
        <v>103.88793015937466</v>
      </c>
      <c r="J38" s="49">
        <f t="shared" si="10"/>
        <v>82.15</v>
      </c>
      <c r="K38" s="49">
        <f>J38*AB38</f>
        <v>104.24068622474874</v>
      </c>
      <c r="L38" s="49">
        <f t="shared" si="11"/>
        <v>81.56</v>
      </c>
      <c r="M38" s="49">
        <f>L38*AB38</f>
        <v>103.49203126586131</v>
      </c>
      <c r="N38" s="49">
        <f t="shared" si="12"/>
        <v>81.7</v>
      </c>
      <c r="O38" s="49">
        <f>N38*AB38</f>
        <v>103.66967820525834</v>
      </c>
      <c r="P38" s="39"/>
      <c r="Q38" s="39"/>
      <c r="R38" s="43">
        <v>60</v>
      </c>
      <c r="S38" s="44">
        <v>20.984000000000002</v>
      </c>
      <c r="T38" s="43">
        <v>60</v>
      </c>
      <c r="U38" s="44">
        <v>21.872</v>
      </c>
      <c r="V38" s="43">
        <v>60</v>
      </c>
      <c r="W38" s="68">
        <v>22.15</v>
      </c>
      <c r="X38" s="71">
        <v>60</v>
      </c>
      <c r="Y38" s="68">
        <v>21.56</v>
      </c>
      <c r="Z38" s="71">
        <v>60</v>
      </c>
      <c r="AA38" s="68">
        <v>21.7</v>
      </c>
      <c r="AB38" s="39">
        <f>F6/D6</f>
        <v>1.2689067099786822</v>
      </c>
      <c r="AD38" s="2"/>
      <c r="AE38" s="2"/>
      <c r="AF38" s="2"/>
      <c r="AG38" s="2"/>
      <c r="AH38" s="2"/>
      <c r="AI38" s="2"/>
      <c r="AJ38" s="2"/>
      <c r="AK38" s="2"/>
    </row>
    <row r="39" spans="2:37" ht="16.95" customHeight="1" thickBot="1" x14ac:dyDescent="0.3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5.6" thickBot="1" x14ac:dyDescent="0.3">
      <c r="B40" s="87" t="s">
        <v>64</v>
      </c>
      <c r="C40" s="88"/>
      <c r="D40" s="89" t="s">
        <v>66</v>
      </c>
      <c r="E40" s="90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5.6" thickBot="1" x14ac:dyDescent="0.3">
      <c r="B41" s="87" t="s">
        <v>65</v>
      </c>
      <c r="C41" s="88"/>
      <c r="D41" s="89" t="s">
        <v>93</v>
      </c>
      <c r="E41" s="90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5.6" thickBot="1" x14ac:dyDescent="0.3">
      <c r="B42" s="87" t="s">
        <v>62</v>
      </c>
      <c r="C42" s="88"/>
      <c r="D42" s="91">
        <f>AVERAGE(E46,E49)</f>
        <v>100.96698621967312</v>
      </c>
      <c r="E42" s="92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5.6" thickBot="1" x14ac:dyDescent="0.3">
      <c r="B43" s="87" t="s">
        <v>63</v>
      </c>
      <c r="C43" s="88"/>
      <c r="D43" s="89" t="s">
        <v>95</v>
      </c>
      <c r="E43" s="90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4.95" customHeight="1" x14ac:dyDescent="0.25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5.6" x14ac:dyDescent="0.25">
      <c r="B45" s="35" t="s">
        <v>47</v>
      </c>
      <c r="C45" s="35" t="s">
        <v>45</v>
      </c>
      <c r="D45" s="35" t="s">
        <v>68</v>
      </c>
      <c r="E45" s="35" t="s">
        <v>49</v>
      </c>
      <c r="F45" s="35" t="s">
        <v>50</v>
      </c>
      <c r="G45" s="35" t="s">
        <v>46</v>
      </c>
      <c r="H45" s="35" t="s">
        <v>51</v>
      </c>
      <c r="I45" s="35" t="s">
        <v>46</v>
      </c>
      <c r="J45" s="35" t="s">
        <v>52</v>
      </c>
      <c r="K45" s="35" t="s">
        <v>46</v>
      </c>
      <c r="L45" s="35" t="s">
        <v>53</v>
      </c>
      <c r="M45" s="35" t="s">
        <v>46</v>
      </c>
      <c r="N45" s="35" t="s">
        <v>54</v>
      </c>
      <c r="O45" s="35" t="s">
        <v>46</v>
      </c>
      <c r="P45" s="39"/>
      <c r="Q45" s="39"/>
      <c r="R45" s="39" t="s">
        <v>55</v>
      </c>
      <c r="S45" s="39"/>
      <c r="T45" s="39" t="s">
        <v>56</v>
      </c>
      <c r="U45" s="39"/>
      <c r="V45" s="39" t="s">
        <v>57</v>
      </c>
      <c r="W45" s="73"/>
      <c r="X45" s="73" t="s">
        <v>58</v>
      </c>
      <c r="Y45" s="73"/>
      <c r="Z45" s="73" t="s">
        <v>59</v>
      </c>
      <c r="AA45" s="73"/>
      <c r="AB45" s="39" t="s">
        <v>48</v>
      </c>
      <c r="AD45" s="2"/>
      <c r="AE45" s="2"/>
      <c r="AF45" s="2"/>
      <c r="AG45" s="2"/>
      <c r="AH45" s="2"/>
      <c r="AI45" s="2"/>
      <c r="AJ45" s="2"/>
      <c r="AK45" s="2"/>
    </row>
    <row r="46" spans="2:37" ht="15" x14ac:dyDescent="0.25">
      <c r="B46" s="40">
        <v>77</v>
      </c>
      <c r="C46" s="41" t="s">
        <v>114</v>
      </c>
      <c r="D46" s="57">
        <v>3</v>
      </c>
      <c r="E46" s="42">
        <f>G46*0.5+I46*0.125+K46*0.125+M46*0.125+O46*0.125</f>
        <v>101.33219343213885</v>
      </c>
      <c r="F46" s="42">
        <f>SUM(R46:S46)</f>
        <v>79.241</v>
      </c>
      <c r="G46" s="42">
        <f>F46*AB46</f>
        <v>100.54943660542075</v>
      </c>
      <c r="H46" s="42">
        <f>SUM(T46:U46)</f>
        <v>80.349000000000004</v>
      </c>
      <c r="I46" s="42">
        <f>H46*AB46</f>
        <v>101.95538524007713</v>
      </c>
      <c r="J46" s="42">
        <f>SUM(V46:W46)</f>
        <v>80.756</v>
      </c>
      <c r="K46" s="42">
        <f>J46*AB46</f>
        <v>102.47183027103846</v>
      </c>
      <c r="L46" s="42">
        <f>SUM(X46:Y46)</f>
        <v>80.325000000000003</v>
      </c>
      <c r="M46" s="42">
        <f>L46*AB46</f>
        <v>101.92493147903765</v>
      </c>
      <c r="N46" s="42">
        <f>SUM(Z46:AA46)</f>
        <v>80.468999999999994</v>
      </c>
      <c r="O46" s="42">
        <f>N46*AB46</f>
        <v>102.10765404527457</v>
      </c>
      <c r="P46" s="39"/>
      <c r="Q46" s="39"/>
      <c r="R46" s="43">
        <v>60</v>
      </c>
      <c r="S46" s="44">
        <v>19.241</v>
      </c>
      <c r="T46" s="43">
        <v>60</v>
      </c>
      <c r="U46" s="68">
        <v>20.349</v>
      </c>
      <c r="V46" s="43">
        <v>60</v>
      </c>
      <c r="W46" s="68">
        <v>20.756</v>
      </c>
      <c r="X46" s="71">
        <v>60</v>
      </c>
      <c r="Y46" s="68">
        <v>20.324999999999999</v>
      </c>
      <c r="Z46" s="71">
        <v>60</v>
      </c>
      <c r="AA46" s="68">
        <v>20.469000000000001</v>
      </c>
      <c r="AB46" s="39">
        <f>F6/D6</f>
        <v>1.2689067099786822</v>
      </c>
      <c r="AD46" s="2"/>
      <c r="AE46" s="2"/>
      <c r="AF46" s="2"/>
      <c r="AG46" s="2"/>
      <c r="AH46" s="2"/>
      <c r="AI46" s="2"/>
      <c r="AJ46" s="2"/>
      <c r="AK46" s="2"/>
    </row>
    <row r="47" spans="2:37" ht="15" x14ac:dyDescent="0.25">
      <c r="B47" s="45">
        <v>88</v>
      </c>
      <c r="C47" s="36" t="s">
        <v>87</v>
      </c>
      <c r="D47" s="58">
        <v>4</v>
      </c>
      <c r="E47" s="46">
        <f>G47*0.5+I47*0.125+K47*0.125+M47*0.125+O47*0.125</f>
        <v>101.33837935235</v>
      </c>
      <c r="F47" s="46">
        <f t="shared" ref="F47:F49" si="13">SUM(R47:S47)</f>
        <v>79.597999999999999</v>
      </c>
      <c r="G47" s="46">
        <f>F47*AB47</f>
        <v>101.00243630088315</v>
      </c>
      <c r="H47" s="79">
        <f>SUM(T47:U47)</f>
        <v>79.528999999999996</v>
      </c>
      <c r="I47" s="79">
        <f>H47*AB47</f>
        <v>100.9148817378946</v>
      </c>
      <c r="J47" s="79">
        <f>SUM(V47:W47)</f>
        <v>79.616</v>
      </c>
      <c r="K47" s="79">
        <f>J47*AB47</f>
        <v>101.02527662166275</v>
      </c>
      <c r="L47" s="46">
        <f t="shared" ref="L47:L49" si="14">SUM(X47:Y47)</f>
        <v>80.600999999999999</v>
      </c>
      <c r="M47" s="46">
        <f>L47*AB47</f>
        <v>102.27514973099176</v>
      </c>
      <c r="N47" s="46">
        <f t="shared" ref="N47:N49" si="15">SUM(Z47:AA47)</f>
        <v>80.763999999999996</v>
      </c>
      <c r="O47" s="46">
        <f>N47*AB47</f>
        <v>102.48198152471828</v>
      </c>
      <c r="P47" s="39"/>
      <c r="Q47" s="39"/>
      <c r="R47" s="43">
        <v>60</v>
      </c>
      <c r="S47" s="44">
        <v>19.597999999999999</v>
      </c>
      <c r="T47" s="43">
        <v>60</v>
      </c>
      <c r="U47" s="68">
        <v>19.529</v>
      </c>
      <c r="V47" s="43">
        <v>60</v>
      </c>
      <c r="W47" s="68">
        <v>19.616</v>
      </c>
      <c r="X47" s="71">
        <v>60</v>
      </c>
      <c r="Y47" s="68">
        <v>20.600999999999999</v>
      </c>
      <c r="Z47" s="71">
        <v>60</v>
      </c>
      <c r="AA47" s="68">
        <v>20.763999999999999</v>
      </c>
      <c r="AB47" s="39">
        <f>F6/D6</f>
        <v>1.2689067099786822</v>
      </c>
      <c r="AD47" s="2"/>
      <c r="AE47" s="2"/>
      <c r="AF47" s="2"/>
      <c r="AG47" s="2"/>
      <c r="AH47" s="2"/>
      <c r="AI47" s="2"/>
      <c r="AJ47" s="2"/>
      <c r="AK47" s="2"/>
    </row>
    <row r="48" spans="2:37" ht="15" x14ac:dyDescent="0.25">
      <c r="B48" s="40">
        <v>66</v>
      </c>
      <c r="C48" s="41" t="s">
        <v>33</v>
      </c>
      <c r="D48" s="57">
        <v>13</v>
      </c>
      <c r="E48" s="42">
        <f t="shared" ref="E48:E49" si="16">G48*0.5+I48*0.125+K48*0.125+M48*0.125+O48*0.125</f>
        <v>108.74784285859302</v>
      </c>
      <c r="F48" s="42">
        <f t="shared" si="13"/>
        <v>79.400000000000006</v>
      </c>
      <c r="G48" s="42">
        <f>F48*AB48</f>
        <v>100.75119277230738</v>
      </c>
      <c r="H48" s="42">
        <f>SUM(T48:U48)</f>
        <v>79.869</v>
      </c>
      <c r="I48" s="42">
        <f>H48*AB48</f>
        <v>101.34631001928736</v>
      </c>
      <c r="J48" s="42">
        <f>SUM(V48:W48)</f>
        <v>79.900000000000006</v>
      </c>
      <c r="K48" s="42">
        <f>J48*AB48</f>
        <v>101.38564612729671</v>
      </c>
      <c r="L48" s="42">
        <f t="shared" si="14"/>
        <v>85.781999999999996</v>
      </c>
      <c r="M48" s="42">
        <f>L48*AB48</f>
        <v>108.84935539539131</v>
      </c>
      <c r="N48" s="42">
        <f t="shared" si="15"/>
        <v>122.465</v>
      </c>
      <c r="O48" s="42">
        <f>N48*AB48</f>
        <v>155.39666023753932</v>
      </c>
      <c r="P48" s="39"/>
      <c r="Q48" s="39"/>
      <c r="R48" s="43">
        <v>60</v>
      </c>
      <c r="S48" s="44">
        <v>19.399999999999999</v>
      </c>
      <c r="T48" s="43">
        <v>60</v>
      </c>
      <c r="U48" s="68">
        <v>19.869</v>
      </c>
      <c r="V48" s="43">
        <v>60</v>
      </c>
      <c r="W48" s="68">
        <v>19.899999999999999</v>
      </c>
      <c r="X48" s="71">
        <v>60</v>
      </c>
      <c r="Y48" s="68">
        <v>25.782</v>
      </c>
      <c r="Z48" s="71">
        <v>60</v>
      </c>
      <c r="AA48" s="68">
        <v>62.465000000000003</v>
      </c>
      <c r="AB48" s="39">
        <f>F6/D6</f>
        <v>1.2689067099786822</v>
      </c>
      <c r="AD48" s="2"/>
      <c r="AE48" s="2"/>
      <c r="AF48" s="2"/>
      <c r="AG48" s="2"/>
      <c r="AH48" s="2"/>
      <c r="AI48" s="2"/>
      <c r="AJ48" s="2"/>
      <c r="AK48" s="2"/>
    </row>
    <row r="49" spans="1:37" ht="15" x14ac:dyDescent="0.25">
      <c r="B49" s="47">
        <v>33</v>
      </c>
      <c r="C49" s="48" t="s">
        <v>88</v>
      </c>
      <c r="D49" s="59">
        <v>1</v>
      </c>
      <c r="E49" s="49">
        <f t="shared" si="16"/>
        <v>100.60177900720737</v>
      </c>
      <c r="F49" s="49">
        <f t="shared" si="13"/>
        <v>78.807999999999993</v>
      </c>
      <c r="G49" s="49">
        <f>F49*AB49</f>
        <v>99.999999999999972</v>
      </c>
      <c r="H49" s="49">
        <f>SUM(T49:U49)</f>
        <v>79.528999999999996</v>
      </c>
      <c r="I49" s="49">
        <f>H49*AB49</f>
        <v>100.9148817378946</v>
      </c>
      <c r="J49" s="49">
        <f>SUM(V49:W49)</f>
        <v>79.616</v>
      </c>
      <c r="K49" s="49">
        <f>J49*AB49</f>
        <v>101.02527662166275</v>
      </c>
      <c r="L49" s="49">
        <f t="shared" si="14"/>
        <v>79.754999999999995</v>
      </c>
      <c r="M49" s="49">
        <f>L49*AB49</f>
        <v>101.2016546543498</v>
      </c>
      <c r="N49" s="49">
        <f t="shared" si="15"/>
        <v>80.126000000000005</v>
      </c>
      <c r="O49" s="49">
        <f>N49*AB49</f>
        <v>101.67241904375189</v>
      </c>
      <c r="P49" s="39"/>
      <c r="Q49" s="39"/>
      <c r="R49" s="43">
        <v>60</v>
      </c>
      <c r="S49" s="44">
        <v>18.808</v>
      </c>
      <c r="T49" s="43">
        <v>60</v>
      </c>
      <c r="U49" s="68">
        <v>19.529</v>
      </c>
      <c r="V49" s="43">
        <v>60</v>
      </c>
      <c r="W49" s="68">
        <v>19.616</v>
      </c>
      <c r="X49" s="71">
        <v>60</v>
      </c>
      <c r="Y49" s="68">
        <v>19.754999999999999</v>
      </c>
      <c r="Z49" s="71">
        <v>60</v>
      </c>
      <c r="AA49" s="68">
        <v>20.126000000000001</v>
      </c>
      <c r="AB49" s="39">
        <f>F6/D6</f>
        <v>1.2689067099786822</v>
      </c>
      <c r="AD49" s="2"/>
      <c r="AE49" s="2"/>
      <c r="AF49" s="2"/>
      <c r="AG49" s="2"/>
      <c r="AH49" s="2"/>
      <c r="AI49" s="2"/>
      <c r="AJ49" s="2"/>
      <c r="AK49" s="2"/>
    </row>
    <row r="50" spans="1:37" ht="14.4" thickBot="1" x14ac:dyDescent="0.3"/>
    <row r="51" spans="1:37" ht="15.6" thickBot="1" x14ac:dyDescent="0.3">
      <c r="B51" s="87" t="s">
        <v>64</v>
      </c>
      <c r="C51" s="88"/>
      <c r="D51" s="89" t="s">
        <v>89</v>
      </c>
      <c r="E51" s="90"/>
    </row>
    <row r="52" spans="1:37" ht="15.6" thickBot="1" x14ac:dyDescent="0.3">
      <c r="B52" s="87" t="s">
        <v>65</v>
      </c>
      <c r="C52" s="88"/>
      <c r="D52" s="89" t="s">
        <v>90</v>
      </c>
      <c r="E52" s="90"/>
    </row>
    <row r="53" spans="1:37" ht="15.6" thickBot="1" x14ac:dyDescent="0.3">
      <c r="B53" s="87" t="s">
        <v>62</v>
      </c>
      <c r="C53" s="88"/>
      <c r="D53" s="91">
        <f>AVERAGE(E57:E58)</f>
        <v>102.8445716170947</v>
      </c>
      <c r="E53" s="92"/>
    </row>
    <row r="54" spans="1:37" ht="15.6" thickBot="1" x14ac:dyDescent="0.3">
      <c r="B54" s="87" t="s">
        <v>63</v>
      </c>
      <c r="C54" s="88"/>
      <c r="D54" s="89" t="s">
        <v>111</v>
      </c>
      <c r="E54" s="90"/>
    </row>
    <row r="55" spans="1:37" ht="6" customHeight="1" x14ac:dyDescent="0.25"/>
    <row r="56" spans="1:37" ht="15.6" x14ac:dyDescent="0.25">
      <c r="B56" s="35" t="s">
        <v>47</v>
      </c>
      <c r="C56" s="35" t="s">
        <v>45</v>
      </c>
      <c r="D56" s="35" t="s">
        <v>68</v>
      </c>
      <c r="E56" s="35" t="s">
        <v>49</v>
      </c>
      <c r="F56" s="35" t="s">
        <v>50</v>
      </c>
      <c r="G56" s="35" t="s">
        <v>46</v>
      </c>
      <c r="H56" s="35" t="s">
        <v>51</v>
      </c>
      <c r="I56" s="35" t="s">
        <v>46</v>
      </c>
      <c r="J56" s="35" t="s">
        <v>52</v>
      </c>
      <c r="K56" s="35" t="s">
        <v>46</v>
      </c>
      <c r="L56" s="35" t="s">
        <v>53</v>
      </c>
      <c r="M56" s="35" t="s">
        <v>46</v>
      </c>
      <c r="N56" s="35" t="s">
        <v>54</v>
      </c>
      <c r="O56" s="35" t="s">
        <v>46</v>
      </c>
      <c r="R56" s="39" t="s">
        <v>55</v>
      </c>
      <c r="S56" s="39"/>
      <c r="T56" s="39" t="s">
        <v>56</v>
      </c>
      <c r="U56" s="39"/>
      <c r="V56" s="39" t="s">
        <v>57</v>
      </c>
      <c r="W56" s="73"/>
      <c r="X56" s="73" t="s">
        <v>58</v>
      </c>
      <c r="Y56" s="73"/>
      <c r="Z56" s="73" t="s">
        <v>59</v>
      </c>
      <c r="AA56" s="73"/>
      <c r="AB56" s="39" t="s">
        <v>48</v>
      </c>
    </row>
    <row r="57" spans="1:37" ht="15" x14ac:dyDescent="0.25">
      <c r="B57" s="40">
        <v>15</v>
      </c>
      <c r="C57" s="41" t="s">
        <v>91</v>
      </c>
      <c r="D57" s="57">
        <v>7</v>
      </c>
      <c r="E57" s="42">
        <f>G57*0.5+I57*0.125+K57*0.125+M57*0.125+O57*0.125</f>
        <v>102.45660339051872</v>
      </c>
      <c r="F57" s="42">
        <f>SUM(R57:S57)</f>
        <v>80.251000000000005</v>
      </c>
      <c r="G57" s="42">
        <f>F57*AB57</f>
        <v>101.83103238249923</v>
      </c>
      <c r="H57" s="42">
        <f>SUM(T57:U57)</f>
        <v>81.051000000000002</v>
      </c>
      <c r="I57" s="42">
        <f>H57*AB57</f>
        <v>102.84615775048216</v>
      </c>
      <c r="J57" s="42">
        <f>SUM(V57:W57)</f>
        <v>81.066000000000003</v>
      </c>
      <c r="K57" s="42">
        <f>J57*AB57</f>
        <v>102.86519135113186</v>
      </c>
      <c r="L57" s="42">
        <f>SUM(X57:Y57)</f>
        <v>81.260000000000005</v>
      </c>
      <c r="M57" s="42">
        <f>L57*AB57</f>
        <v>103.11135925286771</v>
      </c>
      <c r="N57" s="42">
        <f>SUM(Z57:AA57)</f>
        <v>81.570999999999998</v>
      </c>
      <c r="O57" s="42">
        <f>N57*AB57</f>
        <v>103.50598923967108</v>
      </c>
      <c r="R57" s="43">
        <v>60</v>
      </c>
      <c r="S57" s="44">
        <v>20.251000000000001</v>
      </c>
      <c r="T57" s="43">
        <v>60</v>
      </c>
      <c r="U57" s="68">
        <v>21.050999999999998</v>
      </c>
      <c r="V57" s="43">
        <v>60</v>
      </c>
      <c r="W57" s="68">
        <v>21.065999999999999</v>
      </c>
      <c r="X57" s="71">
        <v>60</v>
      </c>
      <c r="Y57" s="68">
        <v>21.26</v>
      </c>
      <c r="Z57" s="71">
        <v>60</v>
      </c>
      <c r="AA57" s="68">
        <v>21.571000000000002</v>
      </c>
      <c r="AB57" s="39">
        <f>F6/D6</f>
        <v>1.2689067099786822</v>
      </c>
    </row>
    <row r="58" spans="1:37" ht="15" x14ac:dyDescent="0.25">
      <c r="B58" s="45">
        <v>4</v>
      </c>
      <c r="C58" s="36" t="s">
        <v>92</v>
      </c>
      <c r="D58" s="58">
        <v>9</v>
      </c>
      <c r="E58" s="46">
        <f>G58*0.5+I58*0.125+K58*0.125+M58*0.125+O58*0.125</f>
        <v>103.23253984367068</v>
      </c>
      <c r="F58" s="46">
        <f>SUM(R58:S58)</f>
        <v>80.924999999999997</v>
      </c>
      <c r="G58" s="46">
        <f>F58*AB58</f>
        <v>102.68627550502485</v>
      </c>
      <c r="H58" s="46">
        <f>SUM(T58:U58)</f>
        <v>81.067000000000007</v>
      </c>
      <c r="I58" s="46">
        <f>H58*AB58</f>
        <v>102.86646025784184</v>
      </c>
      <c r="J58" s="46">
        <f>SUM(V58:W58)</f>
        <v>81.394999999999996</v>
      </c>
      <c r="K58" s="46">
        <f>J58*AB58</f>
        <v>103.28266165871483</v>
      </c>
      <c r="L58" s="46">
        <f>SUM(X58:Y58)</f>
        <v>82.094999999999999</v>
      </c>
      <c r="M58" s="46">
        <f>L58*AB58</f>
        <v>104.17089635569991</v>
      </c>
      <c r="N58" s="46">
        <f>SUM(Z58:AA58)</f>
        <v>82.587000000000003</v>
      </c>
      <c r="O58" s="46">
        <f>N58*AB58</f>
        <v>104.79519845700943</v>
      </c>
      <c r="R58" s="43">
        <v>60</v>
      </c>
      <c r="S58" s="44">
        <v>20.925000000000001</v>
      </c>
      <c r="T58" s="43">
        <v>60</v>
      </c>
      <c r="U58" s="68">
        <v>21.067</v>
      </c>
      <c r="V58" s="43">
        <v>60</v>
      </c>
      <c r="W58" s="68">
        <v>21.395</v>
      </c>
      <c r="X58" s="71">
        <v>60</v>
      </c>
      <c r="Y58" s="68">
        <v>22.094999999999999</v>
      </c>
      <c r="Z58" s="71">
        <v>60</v>
      </c>
      <c r="AA58" s="68">
        <v>22.587</v>
      </c>
      <c r="AB58" s="39">
        <f>F6/D6</f>
        <v>1.2689067099786822</v>
      </c>
    </row>
    <row r="64" spans="1:37" s="1" customFormat="1" x14ac:dyDescent="0.25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 x14ac:dyDescent="0.25">
      <c r="B65" s="2"/>
      <c r="E65" s="2"/>
      <c r="F65" s="2"/>
      <c r="G65" s="2"/>
      <c r="H65" s="2"/>
      <c r="I65" s="2"/>
      <c r="J65" s="2"/>
    </row>
    <row r="66" spans="2:10" s="1" customFormat="1" x14ac:dyDescent="0.25">
      <c r="B66" s="2"/>
      <c r="E66" s="2"/>
      <c r="F66" s="2"/>
      <c r="G66" s="2"/>
      <c r="H66" s="2"/>
      <c r="I66" s="2"/>
      <c r="J66" s="2"/>
    </row>
    <row r="67" spans="2:10" s="1" customFormat="1" x14ac:dyDescent="0.25">
      <c r="B67" s="2"/>
      <c r="E67" s="2"/>
      <c r="F67" s="2"/>
      <c r="G67" s="2"/>
      <c r="H67" s="2"/>
      <c r="I67" s="2"/>
      <c r="J67" s="2"/>
    </row>
    <row r="68" spans="2:10" s="1" customFormat="1" x14ac:dyDescent="0.25">
      <c r="B68" s="2"/>
      <c r="E68" s="2"/>
      <c r="F68" s="2"/>
      <c r="G68" s="2"/>
      <c r="H68" s="2"/>
      <c r="I68" s="2"/>
      <c r="J68" s="2"/>
    </row>
    <row r="69" spans="2:10" s="1" customFormat="1" x14ac:dyDescent="0.25">
      <c r="B69" s="2"/>
      <c r="E69" s="2"/>
      <c r="F69" s="2"/>
      <c r="G69" s="2"/>
      <c r="H69" s="2"/>
      <c r="I69" s="2"/>
      <c r="J69" s="2"/>
    </row>
    <row r="70" spans="2:10" s="1" customFormat="1" ht="15.6" x14ac:dyDescent="0.25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 x14ac:dyDescent="0.25">
      <c r="B71" s="2"/>
      <c r="E71" s="2"/>
      <c r="F71" s="2"/>
      <c r="G71" s="2"/>
      <c r="H71" s="2"/>
      <c r="I71" s="2"/>
      <c r="J71" s="2"/>
    </row>
    <row r="72" spans="2:10" s="1" customFormat="1" x14ac:dyDescent="0.25">
      <c r="B72" s="2"/>
      <c r="E72" s="2"/>
      <c r="F72" s="2"/>
      <c r="G72" s="2"/>
      <c r="H72" s="2"/>
      <c r="I72" s="2"/>
      <c r="J72" s="2"/>
    </row>
    <row r="73" spans="2:10" s="1" customFormat="1" x14ac:dyDescent="0.25">
      <c r="B73" s="2"/>
      <c r="E73" s="2"/>
      <c r="F73" s="2"/>
      <c r="G73" s="2"/>
      <c r="H73" s="2"/>
      <c r="I73" s="2"/>
      <c r="J73" s="2"/>
    </row>
    <row r="74" spans="2:10" s="1" customFormat="1" x14ac:dyDescent="0.25">
      <c r="B74" s="2"/>
      <c r="E74" s="2"/>
      <c r="F74" s="2"/>
      <c r="G74" s="2"/>
      <c r="H74" s="2"/>
      <c r="I74" s="2"/>
      <c r="J74" s="2"/>
    </row>
    <row r="75" spans="2:10" s="1" customFormat="1" x14ac:dyDescent="0.25">
      <c r="B75" s="2"/>
      <c r="E75" s="2"/>
      <c r="F75" s="2"/>
      <c r="G75" s="2"/>
      <c r="H75" s="2"/>
      <c r="I75" s="2"/>
      <c r="J75" s="2"/>
    </row>
    <row r="76" spans="2:10" s="1" customFormat="1" x14ac:dyDescent="0.25">
      <c r="B76" s="2"/>
      <c r="E76" s="2"/>
      <c r="F76" s="2"/>
      <c r="G76" s="2"/>
      <c r="H76" s="2"/>
      <c r="I76" s="2"/>
      <c r="J76" s="2"/>
    </row>
    <row r="77" spans="2:10" s="1" customFormat="1" x14ac:dyDescent="0.25">
      <c r="B77" s="2"/>
      <c r="E77" s="2"/>
      <c r="F77" s="2"/>
      <c r="G77" s="2"/>
      <c r="H77" s="2"/>
      <c r="I77" s="2"/>
      <c r="J77" s="2"/>
    </row>
    <row r="78" spans="2:10" s="1" customFormat="1" x14ac:dyDescent="0.25">
      <c r="B78" s="2"/>
      <c r="E78" s="2"/>
      <c r="F78" s="2"/>
      <c r="G78" s="2"/>
      <c r="H78" s="2"/>
      <c r="I78" s="2"/>
      <c r="J78" s="2"/>
    </row>
    <row r="79" spans="2:10" s="1" customFormat="1" x14ac:dyDescent="0.25">
      <c r="B79" s="2"/>
      <c r="E79" s="2"/>
      <c r="F79" s="2"/>
      <c r="G79" s="2"/>
      <c r="H79" s="2"/>
      <c r="I79" s="2"/>
      <c r="J79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51:C51"/>
    <mergeCell ref="D51:E51"/>
    <mergeCell ref="B43:C43"/>
    <mergeCell ref="D43:E43"/>
    <mergeCell ref="B40:C40"/>
    <mergeCell ref="D40:E40"/>
    <mergeCell ref="B41:C41"/>
    <mergeCell ref="D41:E41"/>
    <mergeCell ref="B42:C42"/>
    <mergeCell ref="D42:E42"/>
    <mergeCell ref="B52:C52"/>
    <mergeCell ref="D52:E52"/>
    <mergeCell ref="B53:C53"/>
    <mergeCell ref="D53:E53"/>
    <mergeCell ref="B54:C54"/>
    <mergeCell ref="D54:E54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5D0A-02D0-44FE-B44A-48387CDB14F8}">
  <sheetPr>
    <pageSetUpPr fitToPage="1"/>
  </sheetPr>
  <dimension ref="A2:AK55"/>
  <sheetViews>
    <sheetView tabSelected="1" view="pageBreakPreview" topLeftCell="B1" zoomScaleNormal="91" zoomScaleSheetLayoutView="100" workbookViewId="0">
      <selection activeCell="G6" sqref="G6"/>
    </sheetView>
  </sheetViews>
  <sheetFormatPr defaultColWidth="15.77734375" defaultRowHeight="13.8" x14ac:dyDescent="0.25"/>
  <cols>
    <col min="1" max="1" width="15.7773437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77734375" style="2" customWidth="1"/>
    <col min="6" max="6" width="10" style="2" bestFit="1" customWidth="1"/>
    <col min="7" max="8" width="12.77734375" style="2" bestFit="1" customWidth="1"/>
    <col min="9" max="9" width="7.77734375" style="2" bestFit="1" customWidth="1"/>
    <col min="10" max="10" width="10.109375" style="2" bestFit="1" customWidth="1"/>
    <col min="11" max="11" width="7.77734375" style="1" bestFit="1" customWidth="1"/>
    <col min="12" max="12" width="10.109375" style="1" bestFit="1" customWidth="1"/>
    <col min="13" max="13" width="7.77734375" style="1" bestFit="1" customWidth="1"/>
    <col min="14" max="14" width="10.109375" style="1" bestFit="1" customWidth="1"/>
    <col min="15" max="15" width="7.77734375" style="1" bestFit="1" customWidth="1"/>
    <col min="16" max="16" width="9.77734375" style="1" hidden="1" customWidth="1"/>
    <col min="17" max="17" width="5.109375" style="1" hidden="1" customWidth="1"/>
    <col min="18" max="18" width="9.77734375" style="1" hidden="1" customWidth="1"/>
    <col min="19" max="19" width="9" style="1" hidden="1" customWidth="1"/>
    <col min="20" max="22" width="9.77734375" style="1" hidden="1" customWidth="1"/>
    <col min="23" max="23" width="9" style="1" hidden="1" customWidth="1"/>
    <col min="24" max="24" width="15.109375" style="1" hidden="1" customWidth="1"/>
    <col min="25" max="25" width="9" style="1" hidden="1" customWidth="1"/>
    <col min="26" max="26" width="10.6640625" style="1" hidden="1" customWidth="1"/>
    <col min="27" max="27" width="12.109375" style="1" hidden="1" customWidth="1"/>
    <col min="28" max="28" width="13.33203125" style="1" hidden="1" customWidth="1"/>
    <col min="29" max="29" width="13.33203125" style="1" customWidth="1"/>
    <col min="30" max="30" width="7.77734375" style="1" customWidth="1"/>
    <col min="31" max="31" width="13.33203125" style="1" customWidth="1"/>
    <col min="32" max="32" width="7.77734375" style="1" customWidth="1"/>
    <col min="33" max="33" width="13.33203125" style="1" customWidth="1"/>
    <col min="34" max="34" width="7.77734375" style="1" customWidth="1"/>
    <col min="35" max="35" width="13.33203125" style="1" customWidth="1"/>
    <col min="36" max="36" width="7.77734375" style="1" customWidth="1"/>
    <col min="37" max="37" width="12.44140625" style="1" customWidth="1"/>
    <col min="38" max="16384" width="15.77734375" style="2"/>
  </cols>
  <sheetData>
    <row r="2" spans="2:37" ht="20.399999999999999" x14ac:dyDescent="0.25">
      <c r="B2" s="95" t="s">
        <v>77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AK2" s="2"/>
    </row>
    <row r="3" spans="2:37" ht="16.95" customHeight="1" x14ac:dyDescent="0.25">
      <c r="B3" s="96" t="s">
        <v>78</v>
      </c>
      <c r="C3" s="96"/>
      <c r="D3" s="96"/>
      <c r="E3" s="96"/>
      <c r="F3" s="96"/>
      <c r="G3" s="96"/>
      <c r="H3" s="96"/>
      <c r="I3" s="96"/>
      <c r="J3" s="1"/>
      <c r="AK3" s="2"/>
    </row>
    <row r="4" spans="2:37" ht="4.95" customHeight="1" x14ac:dyDescent="0.2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5" x14ac:dyDescent="0.25">
      <c r="B5" s="97" t="s">
        <v>69</v>
      </c>
      <c r="C5" s="97"/>
      <c r="D5" s="97" t="s">
        <v>70</v>
      </c>
      <c r="E5" s="97"/>
      <c r="F5" s="75" t="s">
        <v>46</v>
      </c>
      <c r="G5" s="75" t="s">
        <v>71</v>
      </c>
    </row>
    <row r="6" spans="2:37" ht="16.2" x14ac:dyDescent="0.25">
      <c r="B6" s="101" t="s">
        <v>117</v>
      </c>
      <c r="C6" s="101"/>
      <c r="D6" s="102">
        <v>94.284000000000006</v>
      </c>
      <c r="E6" s="102"/>
      <c r="F6" s="85">
        <v>100</v>
      </c>
      <c r="G6" s="86">
        <f>AVERAGE(F6,E21,E23,E22,E24,E33,E32)</f>
        <v>100.80573434668509</v>
      </c>
    </row>
    <row r="7" spans="2:37" ht="14.4" thickBot="1" x14ac:dyDescent="0.3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5.6" thickBot="1" x14ac:dyDescent="0.3">
      <c r="B8" s="87" t="s">
        <v>64</v>
      </c>
      <c r="C8" s="88"/>
      <c r="D8" s="89" t="s">
        <v>96</v>
      </c>
      <c r="E8" s="90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5.6" thickBot="1" x14ac:dyDescent="0.3">
      <c r="B9" s="87" t="s">
        <v>65</v>
      </c>
      <c r="C9" s="88"/>
      <c r="D9" s="89" t="s">
        <v>99</v>
      </c>
      <c r="E9" s="90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5.6" thickBot="1" x14ac:dyDescent="0.3">
      <c r="B10" s="87" t="s">
        <v>62</v>
      </c>
      <c r="C10" s="88"/>
      <c r="D10" s="91">
        <f>AVERAGE(E13,E14)</f>
        <v>102.89762844172924</v>
      </c>
      <c r="E10" s="92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4.95" customHeight="1" x14ac:dyDescent="0.25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5.6" x14ac:dyDescent="0.25">
      <c r="B12" s="35" t="s">
        <v>47</v>
      </c>
      <c r="C12" s="35" t="s">
        <v>45</v>
      </c>
      <c r="D12" s="35" t="s">
        <v>68</v>
      </c>
      <c r="E12" s="35" t="s">
        <v>49</v>
      </c>
      <c r="F12" s="35" t="s">
        <v>50</v>
      </c>
      <c r="G12" s="35" t="s">
        <v>46</v>
      </c>
      <c r="H12" s="35" t="s">
        <v>51</v>
      </c>
      <c r="I12" s="35" t="s">
        <v>46</v>
      </c>
      <c r="J12" s="35" t="s">
        <v>52</v>
      </c>
      <c r="K12" s="35" t="s">
        <v>46</v>
      </c>
      <c r="L12" s="35" t="s">
        <v>53</v>
      </c>
      <c r="M12" s="35" t="s">
        <v>46</v>
      </c>
      <c r="N12" s="35" t="s">
        <v>54</v>
      </c>
      <c r="O12" s="35" t="s">
        <v>46</v>
      </c>
      <c r="P12" s="39"/>
      <c r="Q12" s="39"/>
      <c r="R12" s="39" t="s">
        <v>55</v>
      </c>
      <c r="S12" s="39"/>
      <c r="T12" s="39" t="s">
        <v>56</v>
      </c>
      <c r="U12" s="39"/>
      <c r="V12" s="39" t="s">
        <v>57</v>
      </c>
      <c r="W12" s="39"/>
      <c r="X12" s="39" t="s">
        <v>58</v>
      </c>
      <c r="Y12" s="39"/>
      <c r="Z12" s="39" t="s">
        <v>59</v>
      </c>
      <c r="AA12" s="39"/>
      <c r="AB12" s="39" t="s">
        <v>48</v>
      </c>
      <c r="AD12" s="2"/>
      <c r="AE12" s="2"/>
      <c r="AF12" s="2"/>
      <c r="AG12" s="2"/>
      <c r="AH12" s="2"/>
      <c r="AI12" s="2"/>
      <c r="AJ12" s="2"/>
      <c r="AK12" s="2"/>
    </row>
    <row r="13" spans="2:37" ht="15" x14ac:dyDescent="0.25">
      <c r="B13" s="40">
        <v>33</v>
      </c>
      <c r="C13" s="41" t="s">
        <v>102</v>
      </c>
      <c r="D13" s="57">
        <v>8</v>
      </c>
      <c r="E13" s="42">
        <f>G13*0.5+I13*0.125+K13*0.125+M13*0.125+O13*0.125</f>
        <v>101.73650884561536</v>
      </c>
      <c r="F13" s="42">
        <f>SUM(R13:S13)</f>
        <v>94.875</v>
      </c>
      <c r="G13" s="42">
        <f>F13*AB13</f>
        <v>100.62682957871961</v>
      </c>
      <c r="H13" s="42">
        <f>L14</f>
        <v>96.938000000000002</v>
      </c>
      <c r="I13" s="42">
        <f>H13*AB13</f>
        <v>102.81489966484239</v>
      </c>
      <c r="J13" s="42">
        <f>N14</f>
        <v>96.997</v>
      </c>
      <c r="K13" s="42">
        <f>J13*AB13</f>
        <v>102.87747656017987</v>
      </c>
      <c r="L13" s="42">
        <f>L14</f>
        <v>96.938000000000002</v>
      </c>
      <c r="M13" s="42">
        <f>L13*AB13</f>
        <v>102.81489966484239</v>
      </c>
      <c r="N13" s="42">
        <f>N14</f>
        <v>96.997</v>
      </c>
      <c r="O13" s="69">
        <f>N13*AB13</f>
        <v>102.87747656017987</v>
      </c>
      <c r="P13" s="39"/>
      <c r="Q13" s="39"/>
      <c r="R13" s="43">
        <v>60</v>
      </c>
      <c r="S13" s="44">
        <v>34.875</v>
      </c>
      <c r="T13" s="43">
        <v>60</v>
      </c>
      <c r="U13" s="68">
        <v>35.194000000000003</v>
      </c>
      <c r="V13" s="43">
        <v>60</v>
      </c>
      <c r="W13" s="68">
        <v>35.576000000000001</v>
      </c>
      <c r="X13" s="71">
        <v>60</v>
      </c>
      <c r="Y13" s="68">
        <v>34.906999999999996</v>
      </c>
      <c r="Z13" s="71">
        <v>60</v>
      </c>
      <c r="AA13" s="68">
        <v>34.939</v>
      </c>
      <c r="AB13" s="39">
        <f>F6/D6</f>
        <v>1.060625344703237</v>
      </c>
      <c r="AD13" s="2"/>
      <c r="AE13" s="2"/>
      <c r="AF13" s="2"/>
      <c r="AG13" s="2"/>
      <c r="AH13" s="2"/>
      <c r="AI13" s="2"/>
      <c r="AJ13" s="2"/>
      <c r="AK13" s="2"/>
    </row>
    <row r="14" spans="2:37" ht="15" x14ac:dyDescent="0.25">
      <c r="B14" s="45">
        <v>19</v>
      </c>
      <c r="C14" s="36" t="s">
        <v>103</v>
      </c>
      <c r="D14" s="58">
        <v>9</v>
      </c>
      <c r="E14" s="46">
        <f>G14*0.5+I14*0.125+K14*0.125+M14*0.125+O14*0.125</f>
        <v>104.0587480378431</v>
      </c>
      <c r="F14" s="46">
        <f t="shared" ref="F14" si="0">SUM(R14:S14)</f>
        <v>99.253999999999991</v>
      </c>
      <c r="G14" s="46">
        <f>F14*AB14</f>
        <v>105.27130796317508</v>
      </c>
      <c r="H14" s="46">
        <f>L14</f>
        <v>96.938000000000002</v>
      </c>
      <c r="I14" s="46">
        <f>H14*AB14</f>
        <v>102.81489966484239</v>
      </c>
      <c r="J14" s="46">
        <f>N14</f>
        <v>96.997</v>
      </c>
      <c r="K14" s="46">
        <f>J14*AB14</f>
        <v>102.87747656017987</v>
      </c>
      <c r="L14" s="46">
        <f>SUM(X14:Y14)</f>
        <v>96.938000000000002</v>
      </c>
      <c r="M14" s="46">
        <f>L14*AB14</f>
        <v>102.81489966484239</v>
      </c>
      <c r="N14" s="46">
        <f>SUM(Z14:AA14)</f>
        <v>96.997</v>
      </c>
      <c r="O14" s="46">
        <f>N14*AB14</f>
        <v>102.87747656017987</v>
      </c>
      <c r="P14" s="39"/>
      <c r="Q14" s="39"/>
      <c r="R14" s="43">
        <v>60</v>
      </c>
      <c r="S14" s="44">
        <v>39.253999999999998</v>
      </c>
      <c r="T14" s="43">
        <v>60</v>
      </c>
      <c r="U14" s="44">
        <v>36.295000000000002</v>
      </c>
      <c r="V14" s="43">
        <v>60</v>
      </c>
      <c r="W14" s="68">
        <v>36.853999999999999</v>
      </c>
      <c r="X14" s="71">
        <v>60</v>
      </c>
      <c r="Y14" s="68">
        <v>36.938000000000002</v>
      </c>
      <c r="Z14" s="71">
        <v>60</v>
      </c>
      <c r="AA14" s="68">
        <v>36.997</v>
      </c>
      <c r="AB14" s="39">
        <f>F6/D6</f>
        <v>1.060625344703237</v>
      </c>
      <c r="AD14" s="2"/>
      <c r="AE14" s="2"/>
      <c r="AF14" s="2"/>
      <c r="AG14" s="2"/>
      <c r="AH14" s="2"/>
      <c r="AI14" s="2"/>
      <c r="AJ14" s="2"/>
      <c r="AK14" s="2"/>
    </row>
    <row r="15" spans="2:37" ht="16.95" customHeight="1" thickBot="1" x14ac:dyDescent="0.3">
      <c r="B15" s="1"/>
      <c r="E15" s="1"/>
      <c r="F15" s="1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5.6" thickBot="1" x14ac:dyDescent="0.3">
      <c r="B16" s="87" t="s">
        <v>64</v>
      </c>
      <c r="C16" s="88"/>
      <c r="D16" s="89" t="s">
        <v>97</v>
      </c>
      <c r="E16" s="90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5.6" thickBot="1" x14ac:dyDescent="0.3">
      <c r="B17" s="87" t="s">
        <v>65</v>
      </c>
      <c r="C17" s="88"/>
      <c r="D17" s="89" t="s">
        <v>98</v>
      </c>
      <c r="E17" s="90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5.6" thickBot="1" x14ac:dyDescent="0.3">
      <c r="B18" s="87" t="s">
        <v>62</v>
      </c>
      <c r="C18" s="88"/>
      <c r="D18" s="91">
        <f>AVERAGE(E21,E23)</f>
        <v>100.48278339909209</v>
      </c>
      <c r="E18" s="92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4.95" customHeight="1" x14ac:dyDescent="0.25">
      <c r="B19" s="1"/>
      <c r="E19" s="1"/>
      <c r="F19" s="1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5.6" x14ac:dyDescent="0.25">
      <c r="B20" s="35" t="s">
        <v>47</v>
      </c>
      <c r="C20" s="35" t="s">
        <v>45</v>
      </c>
      <c r="D20" s="35" t="s">
        <v>68</v>
      </c>
      <c r="E20" s="35" t="s">
        <v>49</v>
      </c>
      <c r="F20" s="35" t="s">
        <v>50</v>
      </c>
      <c r="G20" s="35" t="s">
        <v>46</v>
      </c>
      <c r="H20" s="35" t="s">
        <v>51</v>
      </c>
      <c r="I20" s="35" t="s">
        <v>46</v>
      </c>
      <c r="J20" s="35" t="s">
        <v>52</v>
      </c>
      <c r="K20" s="35" t="s">
        <v>46</v>
      </c>
      <c r="L20" s="35" t="s">
        <v>53</v>
      </c>
      <c r="M20" s="35" t="s">
        <v>46</v>
      </c>
      <c r="N20" s="35" t="s">
        <v>54</v>
      </c>
      <c r="O20" s="35" t="s">
        <v>46</v>
      </c>
      <c r="P20" s="39"/>
      <c r="Q20" s="39"/>
      <c r="R20" s="39" t="s">
        <v>55</v>
      </c>
      <c r="S20" s="39"/>
      <c r="T20" s="39" t="s">
        <v>56</v>
      </c>
      <c r="U20" s="39"/>
      <c r="V20" s="39" t="s">
        <v>57</v>
      </c>
      <c r="W20" s="73"/>
      <c r="X20" s="73" t="s">
        <v>58</v>
      </c>
      <c r="Y20" s="73"/>
      <c r="Z20" s="73" t="s">
        <v>59</v>
      </c>
      <c r="AA20" s="73"/>
      <c r="AB20" s="39" t="s">
        <v>48</v>
      </c>
      <c r="AD20" s="2"/>
      <c r="AE20" s="2"/>
      <c r="AF20" s="2"/>
      <c r="AG20" s="2"/>
      <c r="AH20" s="2"/>
      <c r="AI20" s="2"/>
      <c r="AJ20" s="2"/>
      <c r="AK20" s="2"/>
    </row>
    <row r="21" spans="2:37" ht="15" x14ac:dyDescent="0.25">
      <c r="B21" s="40">
        <v>55</v>
      </c>
      <c r="C21" s="41" t="s">
        <v>104</v>
      </c>
      <c r="D21" s="57">
        <v>1</v>
      </c>
      <c r="E21" s="42">
        <f>G21*0.5+I21*0.125+K21*0.125+M21*0.125+O21*0.125</f>
        <v>100.44758389546475</v>
      </c>
      <c r="F21" s="42">
        <f>SUM(R21:S21)</f>
        <v>94.343999999999994</v>
      </c>
      <c r="G21" s="42">
        <f>F21*AB21</f>
        <v>100.06363752068218</v>
      </c>
      <c r="H21" s="42">
        <f>SUM(T21:U21)</f>
        <v>95.994</v>
      </c>
      <c r="I21" s="42">
        <f>H21*AB21</f>
        <v>101.81366933944253</v>
      </c>
      <c r="J21" s="65">
        <v>94.974000000000004</v>
      </c>
      <c r="K21" s="65">
        <f>J21*AB21</f>
        <v>100.73183148784524</v>
      </c>
      <c r="L21" s="42">
        <f>SUM(X21:Y21)</f>
        <v>94.637</v>
      </c>
      <c r="M21" s="42">
        <f>L21*AB21</f>
        <v>100.37440074668024</v>
      </c>
      <c r="N21" s="42">
        <f>SUM(Z21:AA21)</f>
        <v>94.667000000000002</v>
      </c>
      <c r="O21" s="42">
        <f>N21*AB21</f>
        <v>100.40621950702133</v>
      </c>
      <c r="P21" s="39"/>
      <c r="Q21" s="39"/>
      <c r="R21" s="43">
        <v>60</v>
      </c>
      <c r="S21" s="44">
        <v>34.344000000000001</v>
      </c>
      <c r="T21" s="43">
        <v>60</v>
      </c>
      <c r="U21" s="44">
        <v>35.994</v>
      </c>
      <c r="V21" s="43">
        <v>60</v>
      </c>
      <c r="W21" s="68">
        <v>22.088000000000001</v>
      </c>
      <c r="X21" s="71">
        <v>60</v>
      </c>
      <c r="Y21" s="68">
        <v>34.637</v>
      </c>
      <c r="Z21" s="71">
        <v>60</v>
      </c>
      <c r="AA21" s="68">
        <v>34.667000000000002</v>
      </c>
      <c r="AB21" s="39">
        <f>F6/D6</f>
        <v>1.060625344703237</v>
      </c>
      <c r="AD21" s="2"/>
      <c r="AE21" s="2"/>
      <c r="AF21" s="2"/>
      <c r="AG21" s="2"/>
      <c r="AH21" s="2"/>
      <c r="AI21" s="2"/>
      <c r="AJ21" s="2"/>
      <c r="AK21" s="2"/>
    </row>
    <row r="22" spans="2:37" ht="15" x14ac:dyDescent="0.25">
      <c r="B22" s="45">
        <v>99</v>
      </c>
      <c r="C22" s="36" t="s">
        <v>105</v>
      </c>
      <c r="D22" s="58">
        <v>3</v>
      </c>
      <c r="E22" s="46">
        <f t="shared" ref="E22:E24" si="1">G22*0.5+I22*0.125+K22*0.125+M22*0.125+O22*0.125</f>
        <v>100.63040918925797</v>
      </c>
      <c r="F22" s="46">
        <f t="shared" ref="F22:F24" si="2">SUM(R22:S22)</f>
        <v>94.456999999999994</v>
      </c>
      <c r="G22" s="46">
        <f>F22*AB22</f>
        <v>100.18348818463365</v>
      </c>
      <c r="H22" s="46">
        <f t="shared" ref="H22:H24" si="3">SUM(T22:U22)</f>
        <v>95.866</v>
      </c>
      <c r="I22" s="46">
        <f>H22*AB22</f>
        <v>101.67790929532052</v>
      </c>
      <c r="J22" s="46">
        <f t="shared" ref="J22:J24" si="4">SUM(V22:W22)</f>
        <v>95.997</v>
      </c>
      <c r="K22" s="70">
        <f>J22*AB22</f>
        <v>101.81685121547665</v>
      </c>
      <c r="L22" s="70">
        <f t="shared" ref="L22:L23" si="5">SUM(X22:Y22)</f>
        <v>94.563999999999993</v>
      </c>
      <c r="M22" s="70">
        <f>L22*AB22</f>
        <v>100.2969750965169</v>
      </c>
      <c r="N22" s="70">
        <f t="shared" ref="N22:N23" si="6">SUM(Z22:AA22)</f>
        <v>94.771999999999991</v>
      </c>
      <c r="O22" s="70">
        <f>N22*AB22</f>
        <v>100.51758516821516</v>
      </c>
      <c r="P22" s="39"/>
      <c r="Q22" s="39"/>
      <c r="R22" s="43">
        <v>60</v>
      </c>
      <c r="S22" s="44">
        <v>34.457000000000001</v>
      </c>
      <c r="T22" s="43">
        <v>60</v>
      </c>
      <c r="U22" s="68">
        <v>35.866</v>
      </c>
      <c r="V22" s="43">
        <v>60</v>
      </c>
      <c r="W22" s="68">
        <v>35.997</v>
      </c>
      <c r="X22" s="71">
        <v>60</v>
      </c>
      <c r="Y22" s="68">
        <v>34.564</v>
      </c>
      <c r="Z22" s="71">
        <v>60</v>
      </c>
      <c r="AA22" s="68">
        <v>34.771999999999998</v>
      </c>
      <c r="AB22" s="39">
        <f>F6/D6</f>
        <v>1.060625344703237</v>
      </c>
      <c r="AD22" s="2"/>
      <c r="AE22" s="2"/>
      <c r="AF22" s="2"/>
      <c r="AG22" s="2"/>
      <c r="AH22" s="2"/>
      <c r="AI22" s="2"/>
      <c r="AJ22" s="2"/>
      <c r="AK22" s="2"/>
    </row>
    <row r="23" spans="2:37" ht="15" x14ac:dyDescent="0.25">
      <c r="B23" s="40">
        <v>77</v>
      </c>
      <c r="C23" s="41" t="s">
        <v>106</v>
      </c>
      <c r="D23" s="57">
        <v>2</v>
      </c>
      <c r="E23" s="42">
        <f t="shared" si="1"/>
        <v>100.51798290271942</v>
      </c>
      <c r="F23" s="42">
        <f t="shared" si="2"/>
        <v>94.853999999999999</v>
      </c>
      <c r="G23" s="42">
        <f>F23*AB23</f>
        <v>100.60455644648084</v>
      </c>
      <c r="H23" s="42">
        <f t="shared" si="3"/>
        <v>94.906999999999996</v>
      </c>
      <c r="I23" s="42">
        <f>H23*AB23</f>
        <v>100.6607695897501</v>
      </c>
      <c r="J23" s="42">
        <f t="shared" si="4"/>
        <v>94.97399999999999</v>
      </c>
      <c r="K23" s="69">
        <f>J23*AB23</f>
        <v>100.73183148784521</v>
      </c>
      <c r="L23" s="69">
        <f t="shared" si="5"/>
        <v>94.283999999999992</v>
      </c>
      <c r="M23" s="69">
        <f>L23*AB23</f>
        <v>99.999999999999986</v>
      </c>
      <c r="N23" s="69">
        <f t="shared" si="6"/>
        <v>94.597999999999999</v>
      </c>
      <c r="O23" s="69">
        <f>N23*AB23</f>
        <v>100.33303635823681</v>
      </c>
      <c r="P23" s="39"/>
      <c r="Q23" s="39"/>
      <c r="R23" s="43">
        <v>60</v>
      </c>
      <c r="S23" s="44">
        <v>34.853999999999999</v>
      </c>
      <c r="T23" s="43">
        <v>60</v>
      </c>
      <c r="U23" s="68">
        <v>34.906999999999996</v>
      </c>
      <c r="V23" s="43">
        <v>60</v>
      </c>
      <c r="W23" s="68">
        <v>34.973999999999997</v>
      </c>
      <c r="X23" s="71">
        <v>60</v>
      </c>
      <c r="Y23" s="68">
        <v>34.283999999999999</v>
      </c>
      <c r="Z23" s="71">
        <v>60</v>
      </c>
      <c r="AA23" s="68">
        <v>34.597999999999999</v>
      </c>
      <c r="AB23" s="39">
        <f>F6/D6</f>
        <v>1.060625344703237</v>
      </c>
      <c r="AD23" s="2"/>
      <c r="AE23" s="2"/>
      <c r="AF23" s="2"/>
      <c r="AG23" s="2"/>
      <c r="AH23" s="2"/>
      <c r="AI23" s="2"/>
      <c r="AJ23" s="2"/>
      <c r="AK23" s="2"/>
    </row>
    <row r="24" spans="2:37" ht="15" x14ac:dyDescent="0.25">
      <c r="B24" s="47">
        <v>22</v>
      </c>
      <c r="C24" s="48" t="s">
        <v>107</v>
      </c>
      <c r="D24" s="59">
        <v>4</v>
      </c>
      <c r="E24" s="49">
        <f t="shared" si="1"/>
        <v>100.80687073098298</v>
      </c>
      <c r="F24" s="49">
        <f t="shared" si="2"/>
        <v>95.213999999999999</v>
      </c>
      <c r="G24" s="49">
        <f>F24*AB24</f>
        <v>100.98638157057401</v>
      </c>
      <c r="H24" s="49">
        <f t="shared" si="3"/>
        <v>95.149000000000001</v>
      </c>
      <c r="I24" s="49">
        <f>H24*AB24</f>
        <v>100.9174409231683</v>
      </c>
      <c r="J24" s="49">
        <f t="shared" si="4"/>
        <v>95.471000000000004</v>
      </c>
      <c r="K24" s="49">
        <f>J24*AB24</f>
        <v>101.25896228416275</v>
      </c>
      <c r="L24" s="81">
        <v>94.284000000000006</v>
      </c>
      <c r="M24" s="81">
        <f>L24*AB24</f>
        <v>100</v>
      </c>
      <c r="N24" s="81">
        <v>94.597999999999999</v>
      </c>
      <c r="O24" s="81">
        <f>N24*AB24</f>
        <v>100.33303635823681</v>
      </c>
      <c r="P24" s="39"/>
      <c r="Q24" s="39"/>
      <c r="R24" s="43">
        <v>60</v>
      </c>
      <c r="S24" s="44">
        <v>35.213999999999999</v>
      </c>
      <c r="T24" s="43">
        <v>60</v>
      </c>
      <c r="U24" s="44">
        <v>35.149000000000001</v>
      </c>
      <c r="V24" s="43">
        <v>60</v>
      </c>
      <c r="W24" s="68">
        <v>35.470999999999997</v>
      </c>
      <c r="X24" s="71">
        <v>60</v>
      </c>
      <c r="Y24" s="68">
        <v>21.966000000000001</v>
      </c>
      <c r="Z24" s="71">
        <v>60</v>
      </c>
      <c r="AA24" s="68">
        <v>22.584</v>
      </c>
      <c r="AB24" s="39">
        <f>F6/D6</f>
        <v>1.060625344703237</v>
      </c>
      <c r="AD24" s="2"/>
      <c r="AE24" s="2"/>
      <c r="AF24" s="2"/>
      <c r="AG24" s="2"/>
      <c r="AH24" s="2"/>
      <c r="AI24" s="2"/>
      <c r="AJ24" s="2"/>
      <c r="AK24" s="2"/>
    </row>
    <row r="25" spans="2:37" ht="14.4" thickBot="1" x14ac:dyDescent="0.3">
      <c r="B25" s="1"/>
      <c r="E25" s="1"/>
      <c r="F25" s="1"/>
      <c r="G25" s="1"/>
      <c r="H25" s="1"/>
      <c r="I25" s="1"/>
      <c r="J25" s="1"/>
      <c r="W25" s="72"/>
      <c r="X25" s="72"/>
      <c r="Y25" s="72"/>
      <c r="Z25" s="72"/>
      <c r="AA25" s="72"/>
      <c r="AD25" s="2"/>
      <c r="AE25" s="2"/>
      <c r="AF25" s="2"/>
      <c r="AG25" s="2"/>
      <c r="AH25" s="2"/>
      <c r="AI25" s="2"/>
      <c r="AJ25" s="2"/>
      <c r="AK25" s="2"/>
    </row>
    <row r="26" spans="2:37" ht="15.6" thickBot="1" x14ac:dyDescent="0.3">
      <c r="B26" s="87" t="s">
        <v>64</v>
      </c>
      <c r="C26" s="88"/>
      <c r="D26" s="89" t="s">
        <v>100</v>
      </c>
      <c r="E26" s="93"/>
      <c r="F26" s="55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5.6" thickBot="1" x14ac:dyDescent="0.3">
      <c r="B27" s="87" t="s">
        <v>65</v>
      </c>
      <c r="C27" s="88"/>
      <c r="D27" s="89" t="s">
        <v>101</v>
      </c>
      <c r="E27" s="93"/>
      <c r="F27" s="55"/>
      <c r="G27" s="1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8" customHeight="1" thickBot="1" x14ac:dyDescent="0.3">
      <c r="B28" s="87" t="s">
        <v>62</v>
      </c>
      <c r="C28" s="88"/>
      <c r="D28" s="91">
        <f>AVERAGE(E32,E33)</f>
        <v>101.61864685418522</v>
      </c>
      <c r="E28" s="94"/>
      <c r="F28" s="56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4.95" customHeight="1" x14ac:dyDescent="0.25">
      <c r="B29" s="1"/>
      <c r="E29" s="1"/>
      <c r="F29" s="1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5.6" x14ac:dyDescent="0.25">
      <c r="B30" s="35" t="s">
        <v>47</v>
      </c>
      <c r="C30" s="35" t="s">
        <v>45</v>
      </c>
      <c r="D30" s="35" t="s">
        <v>68</v>
      </c>
      <c r="E30" s="35" t="s">
        <v>49</v>
      </c>
      <c r="F30" s="35" t="s">
        <v>50</v>
      </c>
      <c r="G30" s="35" t="s">
        <v>46</v>
      </c>
      <c r="H30" s="35" t="s">
        <v>51</v>
      </c>
      <c r="I30" s="35" t="s">
        <v>46</v>
      </c>
      <c r="J30" s="35" t="s">
        <v>52</v>
      </c>
      <c r="K30" s="35" t="s">
        <v>46</v>
      </c>
      <c r="L30" s="35" t="s">
        <v>53</v>
      </c>
      <c r="M30" s="35" t="s">
        <v>46</v>
      </c>
      <c r="N30" s="35" t="s">
        <v>54</v>
      </c>
      <c r="O30" s="35" t="s">
        <v>46</v>
      </c>
      <c r="P30" s="39"/>
      <c r="Q30" s="39"/>
      <c r="R30" s="39" t="s">
        <v>55</v>
      </c>
      <c r="S30" s="39"/>
      <c r="T30" s="39" t="s">
        <v>56</v>
      </c>
      <c r="U30" s="39"/>
      <c r="V30" s="39" t="s">
        <v>57</v>
      </c>
      <c r="W30" s="73"/>
      <c r="X30" s="73" t="s">
        <v>58</v>
      </c>
      <c r="Y30" s="73"/>
      <c r="Z30" s="73" t="s">
        <v>59</v>
      </c>
      <c r="AA30" s="73"/>
      <c r="AB30" s="39" t="s">
        <v>48</v>
      </c>
      <c r="AD30" s="2"/>
      <c r="AE30" s="2"/>
      <c r="AF30" s="2"/>
      <c r="AG30" s="2"/>
      <c r="AH30" s="2"/>
      <c r="AI30" s="2"/>
      <c r="AJ30" s="2"/>
      <c r="AK30" s="2"/>
    </row>
    <row r="31" spans="2:37" ht="15" x14ac:dyDescent="0.25">
      <c r="B31" s="40">
        <v>5</v>
      </c>
      <c r="C31" s="41" t="s">
        <v>108</v>
      </c>
      <c r="D31" s="41">
        <v>7</v>
      </c>
      <c r="E31" s="83">
        <f>G31*0.5+I31*0.125+K31*0.125+M31*0.125+O31*0.125</f>
        <v>101.75016439692843</v>
      </c>
      <c r="F31" s="41">
        <f>SUM(R31:S31)</f>
        <v>95.721000000000004</v>
      </c>
      <c r="G31" s="83">
        <f>F31*AB31</f>
        <v>101.52411862033856</v>
      </c>
      <c r="H31" s="83">
        <f>SUM(T31:U31)</f>
        <v>96.131</v>
      </c>
      <c r="I31" s="41">
        <f>H31*AB31</f>
        <v>101.95897501166688</v>
      </c>
      <c r="J31" s="41">
        <f>SUM(V31:W31)</f>
        <v>96.555999999999997</v>
      </c>
      <c r="K31" s="83">
        <f>J31*AB31</f>
        <v>102.40974078316574</v>
      </c>
      <c r="L31" s="41">
        <f>SUM(X31:Y31)</f>
        <v>95.930999999999997</v>
      </c>
      <c r="M31" s="41">
        <f>L31*AB31</f>
        <v>101.74684994272623</v>
      </c>
      <c r="N31" s="83">
        <f>SUM(Z31:AA31)</f>
        <v>95.971000000000004</v>
      </c>
      <c r="O31" s="42">
        <f>N31*AB31</f>
        <v>101.78927495651436</v>
      </c>
      <c r="P31" s="39"/>
      <c r="Q31" s="39"/>
      <c r="R31" s="43">
        <v>60</v>
      </c>
      <c r="S31" s="44">
        <v>35.720999999999997</v>
      </c>
      <c r="T31" s="43">
        <v>60</v>
      </c>
      <c r="U31" s="44">
        <v>36.131</v>
      </c>
      <c r="V31" s="43">
        <v>60</v>
      </c>
      <c r="W31" s="68">
        <v>36.555999999999997</v>
      </c>
      <c r="X31" s="71">
        <v>60</v>
      </c>
      <c r="Y31" s="68">
        <v>35.930999999999997</v>
      </c>
      <c r="Z31" s="71">
        <v>60</v>
      </c>
      <c r="AA31" s="68">
        <v>35.970999999999997</v>
      </c>
      <c r="AB31" s="39">
        <f>F6/D6</f>
        <v>1.060625344703237</v>
      </c>
      <c r="AD31" s="2"/>
      <c r="AE31" s="2"/>
      <c r="AF31" s="2"/>
      <c r="AG31" s="2"/>
      <c r="AH31" s="2"/>
      <c r="AI31" s="2"/>
      <c r="AJ31" s="2"/>
      <c r="AK31" s="2"/>
    </row>
    <row r="32" spans="2:37" ht="15" x14ac:dyDescent="0.25">
      <c r="B32" s="45">
        <v>6</v>
      </c>
      <c r="C32" s="36" t="s">
        <v>109</v>
      </c>
      <c r="D32" s="61">
        <v>6</v>
      </c>
      <c r="E32" s="36">
        <f t="shared" ref="E32:E33" si="7">G32*0.5+I32*0.125+K32*0.125+M32*0.125+O32*0.125</f>
        <v>101.67340163760552</v>
      </c>
      <c r="F32" s="36">
        <f t="shared" ref="F32:F33" si="8">SUM(R32:S32)</f>
        <v>95.804000000000002</v>
      </c>
      <c r="G32" s="36">
        <f>F32*AB32</f>
        <v>101.61215052394891</v>
      </c>
      <c r="H32" s="36">
        <f t="shared" ref="H32:H33" si="9">SUM(T32:U32)</f>
        <v>95.89</v>
      </c>
      <c r="I32" s="36">
        <f>H32*AB32</f>
        <v>101.70336430359339</v>
      </c>
      <c r="J32" s="36">
        <f t="shared" ref="J32:J33" si="10">SUM(V32:W32)</f>
        <v>96.537999999999997</v>
      </c>
      <c r="K32" s="36">
        <f>J32*AB32</f>
        <v>102.39064952696108</v>
      </c>
      <c r="L32" s="36">
        <f t="shared" ref="L32:L33" si="11">SUM(X32:Y32)</f>
        <v>95.507000000000005</v>
      </c>
      <c r="M32" s="36">
        <f>L32*AB32</f>
        <v>101.29714479657206</v>
      </c>
      <c r="N32" s="36">
        <f t="shared" ref="N32:N33" si="12">SUM(Z32:AA32)</f>
        <v>95.742999999999995</v>
      </c>
      <c r="O32" s="46">
        <f>N32*AB32</f>
        <v>101.54745237792201</v>
      </c>
      <c r="P32" s="39"/>
      <c r="Q32" s="39"/>
      <c r="R32" s="43">
        <v>60</v>
      </c>
      <c r="S32" s="44">
        <v>35.804000000000002</v>
      </c>
      <c r="T32" s="43">
        <v>60</v>
      </c>
      <c r="U32" s="68">
        <v>35.89</v>
      </c>
      <c r="V32" s="43">
        <v>60</v>
      </c>
      <c r="W32" s="68">
        <v>36.537999999999997</v>
      </c>
      <c r="X32" s="71">
        <v>60</v>
      </c>
      <c r="Y32" s="68">
        <v>35.506999999999998</v>
      </c>
      <c r="Z32" s="71">
        <v>60</v>
      </c>
      <c r="AA32" s="68">
        <v>35.743000000000002</v>
      </c>
      <c r="AB32" s="39">
        <f>F6/D6</f>
        <v>1.060625344703237</v>
      </c>
      <c r="AD32" s="2"/>
      <c r="AE32" s="2"/>
      <c r="AF32" s="2"/>
      <c r="AG32" s="2"/>
      <c r="AH32" s="2"/>
      <c r="AI32" s="2"/>
      <c r="AJ32" s="2"/>
      <c r="AK32" s="2"/>
    </row>
    <row r="33" spans="1:37" ht="15" x14ac:dyDescent="0.25">
      <c r="B33" s="40">
        <v>7</v>
      </c>
      <c r="C33" s="53" t="s">
        <v>110</v>
      </c>
      <c r="D33" s="53">
        <v>5</v>
      </c>
      <c r="E33" s="84">
        <f t="shared" si="7"/>
        <v>101.56389207076492</v>
      </c>
      <c r="F33" s="53">
        <f t="shared" si="8"/>
        <v>95.504999999999995</v>
      </c>
      <c r="G33" s="84">
        <f>F33*AB33</f>
        <v>101.29502354588264</v>
      </c>
      <c r="H33" s="84">
        <f t="shared" si="9"/>
        <v>95.731999999999999</v>
      </c>
      <c r="I33" s="53">
        <f>H33*AB33</f>
        <v>101.53578549913028</v>
      </c>
      <c r="J33" s="53">
        <f t="shared" si="10"/>
        <v>96.134</v>
      </c>
      <c r="K33" s="53">
        <f>J33*AB33</f>
        <v>101.96215688770098</v>
      </c>
      <c r="L33" s="53">
        <f t="shared" si="11"/>
        <v>96.082999999999998</v>
      </c>
      <c r="M33" s="53">
        <f>L33*AB33</f>
        <v>101.90806499512112</v>
      </c>
      <c r="N33" s="84">
        <f t="shared" si="12"/>
        <v>96.09899999999999</v>
      </c>
      <c r="O33" s="82">
        <f>N33*AB33</f>
        <v>101.92503500063636</v>
      </c>
      <c r="P33" s="39"/>
      <c r="Q33" s="39"/>
      <c r="R33" s="43">
        <v>60</v>
      </c>
      <c r="S33" s="44">
        <v>35.505000000000003</v>
      </c>
      <c r="T33" s="43">
        <v>60</v>
      </c>
      <c r="U33" s="44">
        <v>35.731999999999999</v>
      </c>
      <c r="V33" s="43">
        <v>60</v>
      </c>
      <c r="W33" s="68">
        <v>36.134</v>
      </c>
      <c r="X33" s="71">
        <v>60</v>
      </c>
      <c r="Y33" s="68">
        <v>36.082999999999998</v>
      </c>
      <c r="Z33" s="71">
        <v>60</v>
      </c>
      <c r="AA33" s="68">
        <v>36.098999999999997</v>
      </c>
      <c r="AB33" s="39">
        <f>F6/D6</f>
        <v>1.060625344703237</v>
      </c>
      <c r="AD33" s="2"/>
      <c r="AE33" s="2"/>
      <c r="AF33" s="2"/>
      <c r="AG33" s="2"/>
      <c r="AH33" s="2"/>
      <c r="AI33" s="2"/>
      <c r="AJ33" s="2"/>
      <c r="AK33" s="2"/>
    </row>
    <row r="34" spans="1:37" ht="16.95" customHeight="1" x14ac:dyDescent="0.25">
      <c r="B34" s="50"/>
      <c r="C34" s="51"/>
      <c r="D34" s="51"/>
      <c r="E34" s="1"/>
      <c r="F34" s="1"/>
      <c r="G34" s="1"/>
      <c r="H34" s="1"/>
      <c r="I34" s="1"/>
      <c r="J34" s="1"/>
      <c r="W34" s="72"/>
      <c r="X34" s="72"/>
      <c r="Y34" s="72"/>
      <c r="Z34" s="72"/>
      <c r="AA34" s="72"/>
      <c r="AD34" s="2"/>
      <c r="AE34" s="2"/>
      <c r="AF34" s="2"/>
      <c r="AG34" s="2"/>
      <c r="AH34" s="2"/>
      <c r="AI34" s="2"/>
      <c r="AJ34" s="2"/>
      <c r="AK34" s="2"/>
    </row>
    <row r="40" spans="1:37" s="1" customFormat="1" x14ac:dyDescent="0.25">
      <c r="A40" s="2"/>
      <c r="B40" s="2"/>
      <c r="E40" s="2"/>
      <c r="F40" s="2"/>
      <c r="G40" s="2"/>
      <c r="H40" s="2"/>
      <c r="I40" s="2"/>
      <c r="J40" s="2"/>
      <c r="R40" s="2"/>
    </row>
    <row r="41" spans="1:37" s="1" customFormat="1" x14ac:dyDescent="0.25">
      <c r="B41" s="2"/>
      <c r="E41" s="2"/>
      <c r="F41" s="2"/>
      <c r="G41" s="2"/>
      <c r="H41" s="2"/>
      <c r="I41" s="2"/>
      <c r="J41" s="2"/>
    </row>
    <row r="42" spans="1:37" s="1" customFormat="1" x14ac:dyDescent="0.25">
      <c r="B42" s="2"/>
      <c r="E42" s="2"/>
      <c r="F42" s="2"/>
      <c r="G42" s="2"/>
      <c r="H42" s="2"/>
      <c r="I42" s="2"/>
      <c r="J42" s="2"/>
    </row>
    <row r="43" spans="1:37" s="1" customFormat="1" x14ac:dyDescent="0.25">
      <c r="B43" s="2"/>
      <c r="E43" s="2"/>
      <c r="F43" s="2"/>
      <c r="G43" s="2"/>
      <c r="H43" s="2"/>
      <c r="I43" s="2"/>
      <c r="J43" s="2"/>
    </row>
    <row r="44" spans="1:37" s="1" customFormat="1" x14ac:dyDescent="0.25">
      <c r="B44" s="2"/>
      <c r="E44" s="2"/>
      <c r="F44" s="2"/>
      <c r="G44" s="2"/>
      <c r="H44" s="2"/>
      <c r="I44" s="2"/>
      <c r="J44" s="2"/>
    </row>
    <row r="45" spans="1:37" s="1" customFormat="1" x14ac:dyDescent="0.25">
      <c r="B45" s="2"/>
      <c r="E45" s="2"/>
      <c r="F45" s="2"/>
      <c r="G45" s="2"/>
      <c r="H45" s="2"/>
      <c r="I45" s="2"/>
      <c r="J45" s="2"/>
    </row>
    <row r="46" spans="1:37" s="1" customFormat="1" ht="15.6" x14ac:dyDescent="0.25">
      <c r="B46" s="38"/>
      <c r="C46" s="37"/>
      <c r="D46" s="37"/>
      <c r="E46" s="37"/>
      <c r="F46" s="37"/>
      <c r="G46" s="37"/>
      <c r="H46" s="37"/>
      <c r="I46" s="37"/>
      <c r="J46" s="2"/>
    </row>
    <row r="47" spans="1:37" s="1" customFormat="1" x14ac:dyDescent="0.25">
      <c r="B47" s="2"/>
      <c r="E47" s="2"/>
      <c r="F47" s="2"/>
      <c r="G47" s="2"/>
      <c r="H47" s="2"/>
      <c r="I47" s="2"/>
      <c r="J47" s="2"/>
    </row>
    <row r="48" spans="1:37" s="1" customFormat="1" x14ac:dyDescent="0.25">
      <c r="B48" s="2"/>
      <c r="E48" s="2"/>
      <c r="F48" s="2"/>
      <c r="G48" s="2"/>
      <c r="H48" s="2"/>
      <c r="I48" s="2"/>
      <c r="J48" s="2"/>
    </row>
    <row r="49" spans="2:10" s="1" customFormat="1" x14ac:dyDescent="0.25">
      <c r="B49" s="2"/>
      <c r="E49" s="2"/>
      <c r="F49" s="2"/>
      <c r="G49" s="2"/>
      <c r="H49" s="2"/>
      <c r="I49" s="2"/>
      <c r="J49" s="2"/>
    </row>
    <row r="50" spans="2:10" s="1" customFormat="1" x14ac:dyDescent="0.25">
      <c r="B50" s="2"/>
      <c r="E50" s="2"/>
      <c r="F50" s="2"/>
      <c r="G50" s="2"/>
      <c r="H50" s="2"/>
      <c r="I50" s="2"/>
      <c r="J50" s="2"/>
    </row>
    <row r="51" spans="2:10" s="1" customFormat="1" x14ac:dyDescent="0.25">
      <c r="B51" s="2"/>
      <c r="E51" s="2"/>
      <c r="F51" s="2"/>
      <c r="G51" s="2"/>
      <c r="H51" s="2"/>
      <c r="I51" s="2"/>
      <c r="J51" s="2"/>
    </row>
    <row r="52" spans="2:10" s="1" customFormat="1" x14ac:dyDescent="0.25">
      <c r="B52" s="2"/>
      <c r="E52" s="2"/>
      <c r="F52" s="2"/>
      <c r="G52" s="2"/>
      <c r="H52" s="2"/>
      <c r="I52" s="2"/>
      <c r="J52" s="2"/>
    </row>
    <row r="53" spans="2:10" s="1" customFormat="1" x14ac:dyDescent="0.25">
      <c r="B53" s="2"/>
      <c r="E53" s="2"/>
      <c r="F53" s="2"/>
      <c r="G53" s="2"/>
      <c r="H53" s="2"/>
      <c r="I53" s="2"/>
      <c r="J53" s="2"/>
    </row>
    <row r="54" spans="2:10" s="1" customFormat="1" x14ac:dyDescent="0.25">
      <c r="B54" s="2"/>
      <c r="E54" s="2"/>
      <c r="F54" s="2"/>
      <c r="G54" s="2"/>
      <c r="H54" s="2"/>
      <c r="I54" s="2"/>
      <c r="J54" s="2"/>
    </row>
    <row r="55" spans="2:10" s="1" customFormat="1" x14ac:dyDescent="0.25">
      <c r="B55" s="2"/>
      <c r="E55" s="2"/>
      <c r="F55" s="2"/>
      <c r="G55" s="2"/>
      <c r="H55" s="2"/>
      <c r="I55" s="2"/>
      <c r="J55" s="2"/>
    </row>
  </sheetData>
  <mergeCells count="24">
    <mergeCell ref="B27:C27"/>
    <mergeCell ref="D27:E27"/>
    <mergeCell ref="B28:C28"/>
    <mergeCell ref="D28:E28"/>
    <mergeCell ref="B18:C18"/>
    <mergeCell ref="D18:E18"/>
    <mergeCell ref="B26:C26"/>
    <mergeCell ref="D26:E26"/>
    <mergeCell ref="B16:C16"/>
    <mergeCell ref="D16:E16"/>
    <mergeCell ref="B17:C17"/>
    <mergeCell ref="D17:E17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F22"/>
  <sheetViews>
    <sheetView zoomScale="50" zoomScaleNormal="74" workbookViewId="0">
      <selection activeCell="F36" sqref="F36"/>
    </sheetView>
  </sheetViews>
  <sheetFormatPr defaultColWidth="8.77734375" defaultRowHeight="15.6" x14ac:dyDescent="0.35"/>
  <cols>
    <col min="1" max="1" width="2" style="4" customWidth="1"/>
    <col min="2" max="6" width="20.77734375" style="4" customWidth="1"/>
    <col min="7" max="10" width="20.77734375" style="16" customWidth="1"/>
    <col min="11" max="14" width="20.77734375" style="4" customWidth="1"/>
    <col min="15" max="15" width="20" style="4" bestFit="1" customWidth="1"/>
    <col min="16" max="17" width="9" style="4" bestFit="1" customWidth="1"/>
    <col min="18" max="21" width="8.77734375" style="4"/>
    <col min="22" max="22" width="12.77734375" style="4" bestFit="1" customWidth="1"/>
    <col min="23" max="25" width="8.77734375" style="4"/>
    <col min="26" max="29" width="9" style="4" bestFit="1" customWidth="1"/>
    <col min="30" max="30" width="8.77734375" style="6"/>
    <col min="31" max="31" width="9" style="6" bestFit="1" customWidth="1"/>
    <col min="32" max="32" width="8.77734375" style="6"/>
    <col min="33" max="16384" width="8.77734375" style="4"/>
  </cols>
  <sheetData>
    <row r="2" spans="2:32" x14ac:dyDescent="0.35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U2" s="4" t="s">
        <v>1</v>
      </c>
      <c r="V2" s="5">
        <v>1.1574074074074101E-5</v>
      </c>
    </row>
    <row r="3" spans="2:32" x14ac:dyDescent="0.35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 t="s">
        <v>11</v>
      </c>
      <c r="L3" s="9" t="s">
        <v>12</v>
      </c>
      <c r="M3" s="7" t="s">
        <v>13</v>
      </c>
      <c r="N3" s="7" t="s">
        <v>14</v>
      </c>
      <c r="AB3" s="4" t="s">
        <v>15</v>
      </c>
    </row>
    <row r="4" spans="2:32" x14ac:dyDescent="0.35">
      <c r="B4" s="10">
        <v>1</v>
      </c>
      <c r="C4" s="11" t="s">
        <v>16</v>
      </c>
      <c r="D4" s="10">
        <v>60</v>
      </c>
      <c r="E4" s="10">
        <v>1180</v>
      </c>
      <c r="F4" s="10" t="s">
        <v>17</v>
      </c>
      <c r="G4" s="12">
        <v>227.7</v>
      </c>
      <c r="H4" s="12">
        <v>64.349999999999994</v>
      </c>
      <c r="I4" s="12">
        <v>64.349999999999994</v>
      </c>
      <c r="J4" s="12">
        <v>147.30000000000001</v>
      </c>
      <c r="K4" s="13">
        <v>1.0744212962963001E-3</v>
      </c>
      <c r="L4" s="14">
        <f>(K4/$V$2)/($K$4/$V$2)*100</f>
        <v>100</v>
      </c>
      <c r="M4" s="12">
        <f t="shared" ref="M4:M16" si="0">$L$4-L4</f>
        <v>0</v>
      </c>
      <c r="N4" s="15">
        <f t="shared" ref="N4:N17" si="1">M4/$L$4</f>
        <v>0</v>
      </c>
      <c r="P4" s="4">
        <v>1</v>
      </c>
      <c r="Q4" s="16">
        <f t="shared" ref="Q4:Q17" si="2">ABS(M4)</f>
        <v>0</v>
      </c>
      <c r="Z4" s="4">
        <v>20</v>
      </c>
      <c r="AA4" s="4">
        <v>0.26</v>
      </c>
      <c r="AB4" s="17">
        <f>AA4/4</f>
        <v>6.5000000000000002E-2</v>
      </c>
      <c r="AC4" s="4">
        <f>AA4*10/20</f>
        <v>0.13</v>
      </c>
      <c r="AD4" s="6" t="s">
        <v>18</v>
      </c>
      <c r="AE4" s="18">
        <f>AA4*15/20</f>
        <v>0.19500000000000001</v>
      </c>
      <c r="AF4" s="6" t="s">
        <v>19</v>
      </c>
    </row>
    <row r="5" spans="2:32" x14ac:dyDescent="0.35">
      <c r="B5" s="30">
        <v>2</v>
      </c>
      <c r="C5" s="19" t="s">
        <v>20</v>
      </c>
      <c r="D5" s="30">
        <v>60</v>
      </c>
      <c r="E5" s="3">
        <v>1200</v>
      </c>
      <c r="F5" s="30" t="s">
        <v>44</v>
      </c>
      <c r="G5" s="20">
        <v>227.2</v>
      </c>
      <c r="H5" s="31">
        <v>64.260000000000005</v>
      </c>
      <c r="I5" s="20">
        <v>64.260000000000005</v>
      </c>
      <c r="J5" s="31">
        <v>147</v>
      </c>
      <c r="K5" s="21">
        <v>1.07719907407407E-3</v>
      </c>
      <c r="L5" s="32">
        <f>(K5/$V$2)/($K$4/$V$2)*100</f>
        <v>100.25853711084707</v>
      </c>
      <c r="M5" s="20">
        <f t="shared" si="0"/>
        <v>-0.25853711084707243</v>
      </c>
      <c r="N5" s="33">
        <f t="shared" si="1"/>
        <v>-2.5853711084707241E-3</v>
      </c>
      <c r="P5" s="4">
        <v>2</v>
      </c>
      <c r="Q5" s="16">
        <f t="shared" si="2"/>
        <v>0.25853711084707243</v>
      </c>
      <c r="Z5" s="4">
        <v>40</v>
      </c>
      <c r="AA5" s="4">
        <v>0.54</v>
      </c>
      <c r="AB5" s="17">
        <f>AA5/8</f>
        <v>6.7500000000000004E-2</v>
      </c>
      <c r="AC5" s="16">
        <f>AA5*25/40</f>
        <v>0.33750000000000002</v>
      </c>
      <c r="AD5" s="6" t="s">
        <v>21</v>
      </c>
      <c r="AE5" s="18">
        <f>AA5*30/40</f>
        <v>0.40500000000000008</v>
      </c>
      <c r="AF5" s="6" t="s">
        <v>22</v>
      </c>
    </row>
    <row r="6" spans="2:32" x14ac:dyDescent="0.35">
      <c r="B6" s="30">
        <v>3</v>
      </c>
      <c r="C6" s="19" t="s">
        <v>23</v>
      </c>
      <c r="D6" s="30">
        <v>60</v>
      </c>
      <c r="E6" s="3">
        <v>1220</v>
      </c>
      <c r="F6" s="30" t="s">
        <v>44</v>
      </c>
      <c r="G6" s="20">
        <v>226.6</v>
      </c>
      <c r="H6" s="31">
        <v>64.19</v>
      </c>
      <c r="I6" s="20">
        <v>64.19</v>
      </c>
      <c r="J6" s="31">
        <v>146.6</v>
      </c>
      <c r="K6" s="21">
        <v>1.0802083333333299E-3</v>
      </c>
      <c r="L6" s="32">
        <f t="shared" ref="L6:L11" si="3">(K6/$V$2)/($K$4/$V$2)*100</f>
        <v>100.53861898093221</v>
      </c>
      <c r="M6" s="20">
        <f t="shared" si="0"/>
        <v>-0.53861898093221328</v>
      </c>
      <c r="N6" s="33">
        <f t="shared" si="1"/>
        <v>-5.3861898093221332E-3</v>
      </c>
      <c r="O6" s="22"/>
      <c r="P6" s="4">
        <v>3</v>
      </c>
      <c r="Q6" s="16">
        <f t="shared" si="2"/>
        <v>0.53861898093221328</v>
      </c>
      <c r="Z6" s="4">
        <v>60</v>
      </c>
      <c r="AA6" s="4">
        <v>0.82</v>
      </c>
      <c r="AB6" s="17">
        <f>AA6/12</f>
        <v>6.8333333333333329E-2</v>
      </c>
      <c r="AC6" s="16">
        <f>AA6*55/60</f>
        <v>0.75166666666666659</v>
      </c>
      <c r="AD6" s="6" t="s">
        <v>24</v>
      </c>
      <c r="AE6" s="18">
        <f>AA6*45/60</f>
        <v>0.61499999999999999</v>
      </c>
      <c r="AF6" s="6" t="s">
        <v>25</v>
      </c>
    </row>
    <row r="7" spans="2:32" x14ac:dyDescent="0.35">
      <c r="B7" s="30">
        <v>4</v>
      </c>
      <c r="C7" s="19" t="s">
        <v>26</v>
      </c>
      <c r="D7" s="30">
        <v>60</v>
      </c>
      <c r="E7" s="3">
        <v>1240</v>
      </c>
      <c r="F7" s="30" t="s">
        <v>44</v>
      </c>
      <c r="G7" s="20">
        <v>226</v>
      </c>
      <c r="H7" s="31">
        <v>64.05</v>
      </c>
      <c r="I7" s="20">
        <v>64.05</v>
      </c>
      <c r="J7" s="31">
        <v>146.4</v>
      </c>
      <c r="K7" s="21">
        <v>1.08321759259259E-3</v>
      </c>
      <c r="L7" s="32">
        <f t="shared" si="3"/>
        <v>100.81870085101741</v>
      </c>
      <c r="M7" s="20">
        <f t="shared" si="0"/>
        <v>-0.81870085101741097</v>
      </c>
      <c r="N7" s="33">
        <f t="shared" si="1"/>
        <v>-8.1870085101741104E-3</v>
      </c>
      <c r="O7" s="22"/>
      <c r="P7" s="4">
        <v>4</v>
      </c>
      <c r="Q7" s="16">
        <f t="shared" si="2"/>
        <v>0.81870085101741097</v>
      </c>
      <c r="Z7" s="4">
        <v>80</v>
      </c>
      <c r="AA7" s="4">
        <v>1.1100000000000001</v>
      </c>
      <c r="AB7" s="17">
        <f>AA7/16</f>
        <v>6.9375000000000006E-2</v>
      </c>
    </row>
    <row r="8" spans="2:32" x14ac:dyDescent="0.35">
      <c r="B8" s="30">
        <v>5</v>
      </c>
      <c r="C8" s="19" t="s">
        <v>27</v>
      </c>
      <c r="D8" s="30">
        <v>60</v>
      </c>
      <c r="E8" s="3">
        <v>1260</v>
      </c>
      <c r="F8" s="30" t="s">
        <v>17</v>
      </c>
      <c r="G8" s="20">
        <v>225.5</v>
      </c>
      <c r="H8" s="31">
        <v>63.9</v>
      </c>
      <c r="I8" s="20">
        <v>63.9</v>
      </c>
      <c r="J8" s="31">
        <v>145.9</v>
      </c>
      <c r="K8" s="21">
        <v>1.0863425925925899E-3</v>
      </c>
      <c r="L8" s="32">
        <f t="shared" si="3"/>
        <v>101.10955510072115</v>
      </c>
      <c r="M8" s="20">
        <f t="shared" si="0"/>
        <v>-1.1095551007211526</v>
      </c>
      <c r="N8" s="33">
        <f t="shared" si="1"/>
        <v>-1.1095551007211525E-2</v>
      </c>
      <c r="O8" s="22"/>
      <c r="P8" s="4">
        <v>5</v>
      </c>
      <c r="Q8" s="16">
        <f t="shared" si="2"/>
        <v>1.1095551007211526</v>
      </c>
      <c r="Z8" s="4">
        <v>100</v>
      </c>
      <c r="AA8" s="4">
        <v>1.38</v>
      </c>
      <c r="AB8" s="17">
        <f>AA8/20</f>
        <v>6.8999999999999992E-2</v>
      </c>
    </row>
    <row r="9" spans="2:32" x14ac:dyDescent="0.35">
      <c r="B9" s="30">
        <v>6</v>
      </c>
      <c r="C9" s="19" t="s">
        <v>28</v>
      </c>
      <c r="D9" s="30">
        <v>60</v>
      </c>
      <c r="E9" s="3">
        <v>1280</v>
      </c>
      <c r="F9" s="30" t="s">
        <v>44</v>
      </c>
      <c r="G9" s="20">
        <v>224.9</v>
      </c>
      <c r="H9" s="31">
        <v>63.8</v>
      </c>
      <c r="I9" s="20">
        <v>63.8</v>
      </c>
      <c r="J9" s="31">
        <v>145.6</v>
      </c>
      <c r="K9" s="21">
        <v>1.08923611111111E-3</v>
      </c>
      <c r="L9" s="32">
        <f t="shared" si="3"/>
        <v>101.37886459118772</v>
      </c>
      <c r="M9" s="20">
        <f t="shared" si="0"/>
        <v>-1.3788645911877211</v>
      </c>
      <c r="N9" s="33">
        <f t="shared" si="1"/>
        <v>-1.3788645911877211E-2</v>
      </c>
      <c r="O9" s="22"/>
      <c r="P9" s="4">
        <v>6</v>
      </c>
      <c r="Q9" s="16">
        <f t="shared" si="2"/>
        <v>1.3788645911877211</v>
      </c>
      <c r="Z9" s="4">
        <v>120</v>
      </c>
      <c r="AA9" s="4">
        <v>1.65</v>
      </c>
      <c r="AB9" s="17">
        <f>AA9/24</f>
        <v>6.8749999999999992E-2</v>
      </c>
    </row>
    <row r="10" spans="2:32" x14ac:dyDescent="0.35">
      <c r="B10" s="30">
        <v>7</v>
      </c>
      <c r="C10" s="19" t="s">
        <v>29</v>
      </c>
      <c r="D10" s="30">
        <v>60</v>
      </c>
      <c r="E10" s="3">
        <v>1300</v>
      </c>
      <c r="F10" s="30" t="s">
        <v>17</v>
      </c>
      <c r="G10" s="20">
        <v>224.3</v>
      </c>
      <c r="H10" s="31">
        <v>63.68</v>
      </c>
      <c r="I10" s="20">
        <v>63.68</v>
      </c>
      <c r="J10" s="31">
        <v>145.30000000000001</v>
      </c>
      <c r="K10" s="21">
        <v>1.09212962962963E-3</v>
      </c>
      <c r="L10" s="32">
        <f t="shared" si="3"/>
        <v>101.64817408165432</v>
      </c>
      <c r="M10" s="20">
        <f t="shared" si="0"/>
        <v>-1.648174081654318</v>
      </c>
      <c r="N10" s="33">
        <f t="shared" si="1"/>
        <v>-1.6481740816543178E-2</v>
      </c>
      <c r="O10" s="22"/>
      <c r="P10" s="4">
        <v>7</v>
      </c>
      <c r="Q10" s="16">
        <f t="shared" si="2"/>
        <v>1.648174081654318</v>
      </c>
    </row>
    <row r="11" spans="2:32" x14ac:dyDescent="0.35">
      <c r="B11" s="30">
        <v>8</v>
      </c>
      <c r="C11" s="19" t="s">
        <v>30</v>
      </c>
      <c r="D11" s="30">
        <v>50</v>
      </c>
      <c r="E11" s="3">
        <v>1180</v>
      </c>
      <c r="F11" s="30" t="s">
        <v>17</v>
      </c>
      <c r="G11" s="20">
        <v>227.8</v>
      </c>
      <c r="H11" s="31">
        <v>64.510000000000005</v>
      </c>
      <c r="I11" s="20">
        <v>64.510000000000005</v>
      </c>
      <c r="J11" s="31">
        <v>147.69999999999999</v>
      </c>
      <c r="K11" s="21">
        <v>1.0718749999999999E-3</v>
      </c>
      <c r="L11" s="32">
        <f t="shared" si="3"/>
        <v>99.763007648389177</v>
      </c>
      <c r="M11" s="20">
        <f t="shared" si="0"/>
        <v>0.23699235161082299</v>
      </c>
      <c r="N11" s="33">
        <f t="shared" si="1"/>
        <v>2.3699235161082298E-3</v>
      </c>
      <c r="P11" s="4">
        <v>1</v>
      </c>
      <c r="Q11" s="16">
        <f>-(M11)+$M$11</f>
        <v>0</v>
      </c>
    </row>
    <row r="12" spans="2:32" x14ac:dyDescent="0.35">
      <c r="B12" s="10">
        <v>9</v>
      </c>
      <c r="C12" s="11" t="s">
        <v>16</v>
      </c>
      <c r="D12" s="10">
        <v>60</v>
      </c>
      <c r="E12" s="10">
        <v>1180</v>
      </c>
      <c r="F12" s="10" t="s">
        <v>17</v>
      </c>
      <c r="G12" s="12">
        <v>227.7</v>
      </c>
      <c r="H12" s="12">
        <v>64.349999999999994</v>
      </c>
      <c r="I12" s="12">
        <v>64.349999999999994</v>
      </c>
      <c r="J12" s="12">
        <v>147.30000000000001</v>
      </c>
      <c r="K12" s="13">
        <v>1.0744212962963001E-3</v>
      </c>
      <c r="L12" s="14">
        <f t="shared" ref="L12:L17" si="4">(K12/$V$2)/($K$4/$V$2)*100</f>
        <v>100</v>
      </c>
      <c r="M12" s="12">
        <f t="shared" si="0"/>
        <v>0</v>
      </c>
      <c r="N12" s="15">
        <f t="shared" si="1"/>
        <v>0</v>
      </c>
      <c r="P12" s="4">
        <v>2</v>
      </c>
      <c r="Q12" s="16">
        <f>-(M12)+$M$11</f>
        <v>0.23699235161082299</v>
      </c>
    </row>
    <row r="13" spans="2:32" x14ac:dyDescent="0.35">
      <c r="B13" s="30">
        <v>10</v>
      </c>
      <c r="C13" s="19" t="s">
        <v>31</v>
      </c>
      <c r="D13" s="30">
        <v>70</v>
      </c>
      <c r="E13" s="3">
        <v>1180</v>
      </c>
      <c r="F13" s="30" t="s">
        <v>17</v>
      </c>
      <c r="G13" s="20">
        <v>227.6</v>
      </c>
      <c r="H13" s="31">
        <v>64.37</v>
      </c>
      <c r="I13" s="20">
        <v>64.37</v>
      </c>
      <c r="J13" s="31">
        <v>146.9</v>
      </c>
      <c r="K13" s="21">
        <v>1.0767361111111099E-3</v>
      </c>
      <c r="L13" s="32">
        <f t="shared" si="4"/>
        <v>100.21544759237271</v>
      </c>
      <c r="M13" s="20">
        <f>$L$4-L13</f>
        <v>-0.21544759237271194</v>
      </c>
      <c r="N13" s="33">
        <f t="shared" si="1"/>
        <v>-2.1544759237271194E-3</v>
      </c>
      <c r="P13" s="4">
        <v>3</v>
      </c>
      <c r="Q13" s="16">
        <f>-(M13)+$M$11</f>
        <v>0.45243994398353493</v>
      </c>
    </row>
    <row r="14" spans="2:32" x14ac:dyDescent="0.35">
      <c r="B14" s="30">
        <v>11</v>
      </c>
      <c r="C14" s="19" t="s">
        <v>32</v>
      </c>
      <c r="D14" s="30">
        <v>80</v>
      </c>
      <c r="E14" s="3">
        <v>1180</v>
      </c>
      <c r="F14" s="30" t="s">
        <v>17</v>
      </c>
      <c r="G14" s="20">
        <v>227.5</v>
      </c>
      <c r="H14" s="31">
        <v>64.2</v>
      </c>
      <c r="I14" s="20">
        <v>64.2</v>
      </c>
      <c r="J14" s="31">
        <v>146.80000000000001</v>
      </c>
      <c r="K14" s="21">
        <v>1.0790509259259299E-3</v>
      </c>
      <c r="L14" s="32">
        <f t="shared" si="4"/>
        <v>100.43089518474633</v>
      </c>
      <c r="M14" s="20">
        <f>$L$4-L14</f>
        <v>-0.43089518474633337</v>
      </c>
      <c r="N14" s="33">
        <f t="shared" si="1"/>
        <v>-4.308951847463334E-3</v>
      </c>
      <c r="P14" s="4">
        <v>4</v>
      </c>
      <c r="Q14" s="16">
        <f>-(M14)+$M$11</f>
        <v>0.66788753635715636</v>
      </c>
    </row>
    <row r="15" spans="2:32" x14ac:dyDescent="0.35">
      <c r="B15" s="10">
        <v>12</v>
      </c>
      <c r="C15" s="11" t="s">
        <v>16</v>
      </c>
      <c r="D15" s="10">
        <v>60</v>
      </c>
      <c r="E15" s="10">
        <v>1180</v>
      </c>
      <c r="F15" s="10" t="s">
        <v>17</v>
      </c>
      <c r="G15" s="12">
        <v>227.7</v>
      </c>
      <c r="H15" s="12">
        <v>64.349999999999994</v>
      </c>
      <c r="I15" s="12">
        <v>64.349999999999994</v>
      </c>
      <c r="J15" s="12">
        <v>147.19999999999999</v>
      </c>
      <c r="K15" s="13">
        <v>1.0744212962963001E-3</v>
      </c>
      <c r="L15" s="14">
        <f t="shared" si="4"/>
        <v>100</v>
      </c>
      <c r="M15" s="12">
        <f t="shared" si="0"/>
        <v>0</v>
      </c>
      <c r="N15" s="15">
        <f t="shared" si="1"/>
        <v>0</v>
      </c>
      <c r="P15" s="4">
        <v>1</v>
      </c>
      <c r="Q15" s="16">
        <f t="shared" si="2"/>
        <v>0</v>
      </c>
      <c r="AA15" s="16"/>
    </row>
    <row r="16" spans="2:32" x14ac:dyDescent="0.35">
      <c r="B16" s="30">
        <v>13</v>
      </c>
      <c r="C16" s="19" t="s">
        <v>36</v>
      </c>
      <c r="D16" s="30">
        <v>60</v>
      </c>
      <c r="E16" s="3">
        <v>1180</v>
      </c>
      <c r="F16" s="34" t="s">
        <v>34</v>
      </c>
      <c r="G16" s="20">
        <v>225.3</v>
      </c>
      <c r="H16" s="31">
        <v>64.38</v>
      </c>
      <c r="I16" s="20">
        <v>64.38</v>
      </c>
      <c r="J16" s="31">
        <v>147.19999999999999</v>
      </c>
      <c r="K16" s="21">
        <f>K15*1.0048</f>
        <v>1.0795785185185223E-3</v>
      </c>
      <c r="L16" s="32">
        <f t="shared" si="4"/>
        <v>100.47999999999999</v>
      </c>
      <c r="M16" s="20">
        <f t="shared" si="0"/>
        <v>-0.47999999999998977</v>
      </c>
      <c r="N16" s="33">
        <f t="shared" si="1"/>
        <v>-4.7999999999998981E-3</v>
      </c>
      <c r="P16" s="4">
        <v>2</v>
      </c>
      <c r="Q16" s="16">
        <f t="shared" si="2"/>
        <v>0.47999999999998977</v>
      </c>
    </row>
    <row r="17" spans="2:27" x14ac:dyDescent="0.35">
      <c r="B17" s="30">
        <v>14</v>
      </c>
      <c r="C17" s="19" t="s">
        <v>37</v>
      </c>
      <c r="D17" s="30">
        <v>60</v>
      </c>
      <c r="E17" s="3">
        <v>1180</v>
      </c>
      <c r="F17" s="34" t="s">
        <v>35</v>
      </c>
      <c r="G17" s="20">
        <v>222.8</v>
      </c>
      <c r="H17" s="31">
        <v>64.36</v>
      </c>
      <c r="I17" s="20">
        <v>64.36</v>
      </c>
      <c r="J17" s="31">
        <v>147.19999999999999</v>
      </c>
      <c r="K17" s="21">
        <f>K15*1.01008</f>
        <v>1.085251462962967E-3</v>
      </c>
      <c r="L17" s="32">
        <f t="shared" si="4"/>
        <v>101.00800000000004</v>
      </c>
      <c r="M17" s="20">
        <f>$L$4-L17</f>
        <v>-1.0080000000000382</v>
      </c>
      <c r="N17" s="33">
        <f t="shared" si="1"/>
        <v>-1.0080000000000382E-2</v>
      </c>
      <c r="P17" s="4">
        <v>3</v>
      </c>
      <c r="Q17" s="16">
        <f t="shared" si="2"/>
        <v>1.0080000000000382</v>
      </c>
      <c r="AA17" s="16"/>
    </row>
    <row r="18" spans="2:27" x14ac:dyDescent="0.35">
      <c r="B18" s="30">
        <v>15</v>
      </c>
      <c r="C18" s="19" t="s">
        <v>38</v>
      </c>
      <c r="D18" s="30">
        <v>60</v>
      </c>
      <c r="E18" s="3">
        <v>1180</v>
      </c>
      <c r="F18" s="34" t="s">
        <v>39</v>
      </c>
      <c r="G18" s="20">
        <v>222.8</v>
      </c>
      <c r="H18" s="31">
        <v>64.36</v>
      </c>
      <c r="I18" s="20">
        <v>64.36</v>
      </c>
      <c r="J18" s="31">
        <v>147.19999999999999</v>
      </c>
      <c r="K18" s="21">
        <f>K15*1.015876</f>
        <v>1.0914788087963002E-3</v>
      </c>
      <c r="L18" s="32">
        <f t="shared" ref="L18:L21" si="5">(K18/$V$2)/($K$4/$V$2)*100</f>
        <v>101.58759999999999</v>
      </c>
      <c r="M18" s="20">
        <f t="shared" ref="M18:M21" si="6">$L$4-L18</f>
        <v>-1.5875999999999948</v>
      </c>
      <c r="N18" s="33">
        <f t="shared" ref="N18:N21" si="7">M18/$L$4</f>
        <v>-1.5875999999999949E-2</v>
      </c>
      <c r="P18" s="4">
        <v>4</v>
      </c>
      <c r="Q18" s="16">
        <f>ABS(M18)</f>
        <v>1.5875999999999948</v>
      </c>
    </row>
    <row r="19" spans="2:27" x14ac:dyDescent="0.35">
      <c r="B19" s="10">
        <v>16</v>
      </c>
      <c r="C19" s="11" t="s">
        <v>16</v>
      </c>
      <c r="D19" s="10">
        <v>60</v>
      </c>
      <c r="E19" s="10">
        <v>1180</v>
      </c>
      <c r="F19" s="10" t="s">
        <v>17</v>
      </c>
      <c r="G19" s="12">
        <v>227.7</v>
      </c>
      <c r="H19" s="12">
        <v>64.349999999999994</v>
      </c>
      <c r="I19" s="12">
        <v>64.349999999999994</v>
      </c>
      <c r="J19" s="12">
        <v>147.19999999999999</v>
      </c>
      <c r="K19" s="13">
        <v>1.0744212962963001E-3</v>
      </c>
      <c r="L19" s="14">
        <f t="shared" si="5"/>
        <v>100</v>
      </c>
      <c r="M19" s="12">
        <f t="shared" si="6"/>
        <v>0</v>
      </c>
      <c r="N19" s="15">
        <f t="shared" si="7"/>
        <v>0</v>
      </c>
      <c r="P19" s="4">
        <v>1</v>
      </c>
      <c r="Q19" s="16">
        <f>ABS(M19)</f>
        <v>0</v>
      </c>
    </row>
    <row r="20" spans="2:27" x14ac:dyDescent="0.35">
      <c r="B20" s="30">
        <v>17</v>
      </c>
      <c r="C20" s="19" t="s">
        <v>40</v>
      </c>
      <c r="D20" s="30">
        <v>60</v>
      </c>
      <c r="E20" s="3">
        <v>1180</v>
      </c>
      <c r="F20" s="34" t="s">
        <v>41</v>
      </c>
      <c r="G20" s="20">
        <v>225.3</v>
      </c>
      <c r="H20" s="31">
        <v>64.38</v>
      </c>
      <c r="I20" s="20">
        <v>64.38</v>
      </c>
      <c r="J20" s="31">
        <v>147.19999999999999</v>
      </c>
      <c r="K20" s="21">
        <f>K19*1.0069</f>
        <v>1.0818348032407444E-3</v>
      </c>
      <c r="L20" s="32">
        <f t="shared" si="5"/>
        <v>100.69</v>
      </c>
      <c r="M20" s="20">
        <f t="shared" si="6"/>
        <v>-0.68999999999999773</v>
      </c>
      <c r="N20" s="33">
        <f t="shared" si="7"/>
        <v>-6.8999999999999773E-3</v>
      </c>
      <c r="P20" s="4">
        <v>2</v>
      </c>
      <c r="Q20" s="16">
        <f>ABS(M20)</f>
        <v>0.68999999999999773</v>
      </c>
    </row>
    <row r="21" spans="2:27" x14ac:dyDescent="0.35">
      <c r="B21" s="30">
        <v>18</v>
      </c>
      <c r="C21" s="19" t="s">
        <v>42</v>
      </c>
      <c r="D21" s="30">
        <v>60</v>
      </c>
      <c r="E21" s="3">
        <v>1180</v>
      </c>
      <c r="F21" s="34" t="s">
        <v>43</v>
      </c>
      <c r="G21" s="20">
        <v>222.8</v>
      </c>
      <c r="H21" s="31">
        <v>64.36</v>
      </c>
      <c r="I21" s="20">
        <v>64.36</v>
      </c>
      <c r="J21" s="31">
        <v>147.19999999999999</v>
      </c>
      <c r="K21" s="21">
        <f>K19*1.0146</f>
        <v>1.0901078472222261E-3</v>
      </c>
      <c r="L21" s="32">
        <f t="shared" si="5"/>
        <v>101.46000000000002</v>
      </c>
      <c r="M21" s="20">
        <f t="shared" si="6"/>
        <v>-1.4600000000000222</v>
      </c>
      <c r="N21" s="33">
        <f t="shared" si="7"/>
        <v>-1.4600000000000222E-2</v>
      </c>
      <c r="P21" s="4">
        <v>3</v>
      </c>
      <c r="Q21" s="16">
        <f>ABS(M21)</f>
        <v>1.4600000000000222</v>
      </c>
    </row>
    <row r="22" spans="2:27" x14ac:dyDescent="0.35">
      <c r="B22" s="23"/>
      <c r="C22" s="24"/>
      <c r="D22" s="23"/>
      <c r="E22" s="23"/>
      <c r="F22" s="25"/>
      <c r="G22" s="26"/>
      <c r="H22" s="26"/>
      <c r="I22" s="26"/>
      <c r="J22" s="26"/>
      <c r="K22" s="27"/>
      <c r="L22" s="28"/>
      <c r="M22" s="26"/>
      <c r="N22" s="29"/>
    </row>
  </sheetData>
  <mergeCells count="1">
    <mergeCell ref="B2:N2"/>
  </mergeCells>
  <phoneticPr fontId="3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10</vt:i4>
      </vt:variant>
    </vt:vector>
  </HeadingPairs>
  <TitlesOfParts>
    <vt:vector size="13" baseType="lpstr">
      <vt:lpstr>R1-GIC-超级杯</vt:lpstr>
      <vt:lpstr>R1-GIC-中国杯</vt:lpstr>
      <vt:lpstr>平衡影响值</vt:lpstr>
      <vt:lpstr>'R1-GIC-超级杯'!bbb</vt:lpstr>
      <vt:lpstr>'R1-GIC-中国杯'!bbb</vt:lpstr>
      <vt:lpstr>'R1-GIC-超级杯'!Beg_Bal</vt:lpstr>
      <vt:lpstr>'R1-GIC-中国杯'!Beg_Bal</vt:lpstr>
      <vt:lpstr>'R1-GIC-超级杯'!Extra_Pay</vt:lpstr>
      <vt:lpstr>'R1-GIC-中国杯'!Extra_Pay</vt:lpstr>
      <vt:lpstr>'R1-GIC-超级杯'!Int</vt:lpstr>
      <vt:lpstr>'R1-GIC-中国杯'!Int</vt:lpstr>
      <vt:lpstr>'R1-GIC-超级杯'!Print_Area</vt:lpstr>
      <vt:lpstr>'R1-GIC-中国杯'!Print_Area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11522</cp:lastModifiedBy>
  <dcterms:created xsi:type="dcterms:W3CDTF">2006-09-16T00:00:00Z</dcterms:created>
  <dcterms:modified xsi:type="dcterms:W3CDTF">2019-05-21T08:56:21Z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